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comments4.xml" ContentType="application/vnd.openxmlformats-officedocument.spreadsheetml.comments+xml"/>
  <Override PartName="/xl/pivotTables/pivotTable2.xml" ContentType="application/vnd.openxmlformats-officedocument.spreadsheetml.pivotTable+xml"/>
  <Override PartName="/xl/comments5.xml" ContentType="application/vnd.openxmlformats-officedocument.spreadsheetml.comments+xml"/>
  <Override PartName="/xl/pivotTables/pivotTable3.xml" ContentType="application/vnd.openxmlformats-officedocument.spreadsheetml.pivotTable+xml"/>
  <Override PartName="/xl/comments6.xml" ContentType="application/vnd.openxmlformats-officedocument.spreadsheetml.comments+xml"/>
  <Override PartName="/xl/pivotTables/pivotTable4.xml" ContentType="application/vnd.openxmlformats-officedocument.spreadsheetml.pivotTable+xml"/>
  <Override PartName="/xl/drawings/drawing1.xml" ContentType="application/vnd.openxmlformats-officedocument.drawing+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pivotTables/pivotTable5.xml" ContentType="application/vnd.openxmlformats-officedocument.spreadsheetml.pivotTable+xml"/>
  <Override PartName="/xl/comments10.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showInkAnnotation="0" hidePivotFieldList="1" checkCompatibility="1" autoCompressPictures="0"/>
  <mc:AlternateContent xmlns:mc="http://schemas.openxmlformats.org/markup-compatibility/2006">
    <mc:Choice Requires="x15">
      <x15ac:absPath xmlns:x15ac="http://schemas.microsoft.com/office/spreadsheetml/2010/11/ac" url="/Users/lmgarruzzo/Dropbox/Personal/Hiking/JMT/"/>
    </mc:Choice>
  </mc:AlternateContent>
  <xr:revisionPtr revIDLastSave="0" documentId="8_{8AEF3518-0215-644C-9BC9-F099D2DD8F43}" xr6:coauthVersionLast="36" xr6:coauthVersionMax="36" xr10:uidLastSave="{00000000-0000-0000-0000-000000000000}"/>
  <bookViews>
    <workbookView xWindow="0" yWindow="460" windowWidth="28800" windowHeight="16280" tabRatio="772" xr2:uid="{00000000-000D-0000-FFFF-FFFF00000000}"/>
  </bookViews>
  <sheets>
    <sheet name="Hiking Itinerary" sheetId="5" r:id="rId1"/>
    <sheet name="Travel Itinerary &amp; Logistics" sheetId="6" r:id="rId2"/>
    <sheet name="Resupplies" sheetId="7" r:id="rId3"/>
    <sheet name="Costs" sheetId="24" r:id="rId4"/>
    <sheet name="Food Cooking Instructions" sheetId="26" r:id="rId5"/>
    <sheet name="Master Food List" sheetId="13" r:id="rId6"/>
    <sheet name="Food Order" sheetId="23" r:id="rId7"/>
    <sheet name="Joe Food Schedule" sheetId="17" r:id="rId8"/>
    <sheet name="Lisa Food Schedule" sheetId="19" r:id="rId9"/>
    <sheet name="Food Summary" sheetId="21" r:id="rId10"/>
    <sheet name="Joe Food - PRINT" sheetId="27" r:id="rId11"/>
    <sheet name="Lisa Food - PRINT" sheetId="28" r:id="rId12"/>
    <sheet name="Recipes" sheetId="14" r:id="rId13"/>
    <sheet name="Complete Gear List (Lisa)" sheetId="29" r:id="rId14"/>
    <sheet name="Gear Summary (Lisa)" sheetId="30" r:id="rId15"/>
    <sheet name="Complete Gear List (Joe)" sheetId="32" r:id="rId16"/>
    <sheet name="Gear Summary (Joe)" sheetId="31" r:id="rId17"/>
  </sheets>
  <externalReferences>
    <externalReference r:id="rId18"/>
  </externalReferences>
  <definedNames>
    <definedName name="_xlnm._FilterDatabase" localSheetId="15" hidden="1">'Complete Gear List (Joe)'!$A$4:$P$81</definedName>
    <definedName name="_xlnm._FilterDatabase" localSheetId="13" hidden="1">'Complete Gear List (Lisa)'!$A$4:$P$229</definedName>
    <definedName name="_xlnm._FilterDatabase" localSheetId="6" hidden="1">'Food Order'!$A$2:$Q$61</definedName>
    <definedName name="_xlnm._FilterDatabase" localSheetId="9" hidden="1">'Food Summary'!$A$2:$H$416</definedName>
    <definedName name="_xlnm._FilterDatabase" localSheetId="10" hidden="1">'Joe Food - PRINT'!$A$7:$K$217</definedName>
    <definedName name="_xlnm._FilterDatabase" localSheetId="7" hidden="1">'Joe Food Schedule'!$A$7:$K$214</definedName>
    <definedName name="_xlnm._FilterDatabase" localSheetId="11" hidden="1">'Lisa Food - PRINT'!$A$7:$K$217</definedName>
    <definedName name="_xlnm._FilterDatabase" localSheetId="8" hidden="1">'Lisa Food Schedule'!$A$7:$K$214</definedName>
    <definedName name="_xlnm._FilterDatabase" localSheetId="5" hidden="1">'Master Food List'!$A$2:$Y$80</definedName>
    <definedName name="Category">[1]Categories!$A:$A</definedName>
    <definedName name="Food_Summary" localSheetId="5">#REF!</definedName>
    <definedName name="Food_Summary" localSheetId="12">#REF!</definedName>
    <definedName name="Food_Summary" localSheetId="2">#REF!</definedName>
    <definedName name="Food_Summary" localSheetId="1">#REF!</definedName>
    <definedName name="master_food_list" localSheetId="5">'Master Food List'!$1:$1048576</definedName>
    <definedName name="master_food_list" localSheetId="12">'Master Food List'!$1:$1048576</definedName>
    <definedName name="master_food_list" localSheetId="2">'Master Food List'!$1:$1048576</definedName>
    <definedName name="master_food_list" localSheetId="1">'Master Food List'!$1:$1048576</definedName>
    <definedName name="master_food_list">'Master Food List'!$1:$1048576</definedName>
    <definedName name="_xlnm.Print_Area" localSheetId="15">'Complete Gear List (Joe)'!$A$3:$P$81</definedName>
    <definedName name="_xlnm.Print_Area" localSheetId="3">Costs!$A$2:$F$83</definedName>
    <definedName name="_xlnm.Print_Area" localSheetId="4">'Food Cooking Instructions'!$E$4:$E$194</definedName>
    <definedName name="_xlnm.Print_Area" localSheetId="6">'Food Order'!$A$2:$Q$78</definedName>
    <definedName name="_xlnm.Print_Area" localSheetId="9">'Food Summary'!$J$1:$W$74</definedName>
    <definedName name="_xlnm.Print_Area" localSheetId="14">'Gear Summary (Lisa)'!$A$5:$J$122</definedName>
    <definedName name="_xlnm.Print_Area" localSheetId="0">'Hiking Itinerary'!$A$2:$O$42</definedName>
    <definedName name="_xlnm.Print_Area" localSheetId="10">'Joe Food - PRINT'!$A$2:$K$218</definedName>
    <definedName name="_xlnm.Print_Area" localSheetId="7">'Joe Food Schedule'!$A$2:$K$214</definedName>
    <definedName name="_xlnm.Print_Area" localSheetId="11">'Lisa Food - PRINT'!$A$2:$K$218</definedName>
    <definedName name="_xlnm.Print_Area" localSheetId="8">'Lisa Food Schedule'!$A$2:$K$214</definedName>
    <definedName name="_xlnm.Print_Area" localSheetId="2">Resupplies!$A$2:$R$8</definedName>
    <definedName name="_xlnm.Print_Area" localSheetId="1">'Travel Itinerary &amp; Logistics'!$A$2:$Q$12</definedName>
    <definedName name="_xlnm.Print_Titles" localSheetId="15">'Complete Gear List (Joe)'!$3:$4</definedName>
    <definedName name="_xlnm.Print_Titles" localSheetId="13">'Complete Gear List (Lisa)'!$3:$4</definedName>
    <definedName name="_xlnm.Print_Titles" localSheetId="3">Costs!$2:$2</definedName>
    <definedName name="_xlnm.Print_Titles" localSheetId="6">'Food Order'!$2:$2</definedName>
    <definedName name="_xlnm.Print_Titles" localSheetId="9">'Food Summary'!$3:$6</definedName>
    <definedName name="_xlnm.Print_Titles" localSheetId="16">'Gear Summary (Joe)'!$5:$5</definedName>
    <definedName name="_xlnm.Print_Titles" localSheetId="14">'Gear Summary (Lisa)'!$3:$5</definedName>
    <definedName name="_xlnm.Print_Titles" localSheetId="0">'Hiking Itinerary'!$2:$2</definedName>
    <definedName name="_xlnm.Print_Titles" localSheetId="10">'Joe Food - PRINT'!$2:$7</definedName>
    <definedName name="_xlnm.Print_Titles" localSheetId="7">'Joe Food Schedule'!$2:$7</definedName>
    <definedName name="_xlnm.Print_Titles" localSheetId="11">'Lisa Food - PRINT'!$2:$7</definedName>
    <definedName name="_xlnm.Print_Titles" localSheetId="8">'Lisa Food Schedule'!$2:$7</definedName>
    <definedName name="_xlnm.Print_Titles" localSheetId="5">'Master Food List'!$2:$2</definedName>
    <definedName name="_xlnm.Print_Titles" localSheetId="1">'Travel Itinerary &amp; Logistics'!$2:$2</definedName>
    <definedName name="Subcategory">[1]Categories!$C:$C</definedName>
  </definedNames>
  <calcPr calcId="179021"/>
  <pivotCaches>
    <pivotCache cacheId="62" r:id="rId19"/>
    <pivotCache cacheId="63" r:id="rId20"/>
    <pivotCache cacheId="64" r:id="rId21"/>
    <pivotCache cacheId="65" r:id="rId22"/>
    <pivotCache cacheId="66" r:id="rId23"/>
    <pivotCache cacheId="67" r:id="rId24"/>
  </pivotCaches>
</workbook>
</file>

<file path=xl/calcChain.xml><?xml version="1.0" encoding="utf-8"?>
<calcChain xmlns="http://schemas.openxmlformats.org/spreadsheetml/2006/main">
  <c r="M80" i="32" l="1"/>
  <c r="N79" i="32"/>
  <c r="P79" i="32" s="1"/>
  <c r="N78" i="32"/>
  <c r="P78" i="32" s="1"/>
  <c r="P77" i="32"/>
  <c r="P76" i="32"/>
  <c r="P75" i="32"/>
  <c r="P74" i="32"/>
  <c r="N74" i="32"/>
  <c r="N73" i="32"/>
  <c r="P73" i="32" s="1"/>
  <c r="N72" i="32"/>
  <c r="P72" i="32" s="1"/>
  <c r="P71" i="32"/>
  <c r="P70" i="32"/>
  <c r="N70" i="32"/>
  <c r="P69" i="32"/>
  <c r="N68" i="32"/>
  <c r="P68" i="32" s="1"/>
  <c r="P67" i="32"/>
  <c r="P66" i="32"/>
  <c r="N66" i="32"/>
  <c r="P65" i="32"/>
  <c r="N65" i="32"/>
  <c r="P64" i="32"/>
  <c r="N64" i="32"/>
  <c r="P63" i="32"/>
  <c r="N63" i="32"/>
  <c r="P62" i="32"/>
  <c r="N62" i="32"/>
  <c r="P61" i="32"/>
  <c r="N61" i="32"/>
  <c r="P60" i="32"/>
  <c r="N60" i="32"/>
  <c r="P59" i="32"/>
  <c r="P58" i="32"/>
  <c r="P57" i="32"/>
  <c r="N57" i="32"/>
  <c r="P56" i="32"/>
  <c r="N55" i="32"/>
  <c r="P55" i="32" s="1"/>
  <c r="N54" i="32"/>
  <c r="P54" i="32" s="1"/>
  <c r="P53" i="32"/>
  <c r="P52" i="32"/>
  <c r="N52" i="32"/>
  <c r="P51" i="32"/>
  <c r="N51" i="32"/>
  <c r="P50" i="32"/>
  <c r="N50" i="32"/>
  <c r="P49" i="32"/>
  <c r="N49" i="32"/>
  <c r="P48" i="32"/>
  <c r="N48" i="32"/>
  <c r="P47" i="32"/>
  <c r="N47" i="32"/>
  <c r="P46" i="32"/>
  <c r="P45" i="32"/>
  <c r="P44" i="32"/>
  <c r="N44" i="32"/>
  <c r="P43" i="32"/>
  <c r="N43" i="32"/>
  <c r="P42" i="32"/>
  <c r="N42" i="32"/>
  <c r="P41" i="32"/>
  <c r="N41" i="32"/>
  <c r="P40" i="32"/>
  <c r="N40" i="32"/>
  <c r="P39" i="32"/>
  <c r="N39" i="32"/>
  <c r="P38" i="32"/>
  <c r="N38" i="32"/>
  <c r="P37" i="32"/>
  <c r="N36" i="32"/>
  <c r="P36" i="32" s="1"/>
  <c r="N35" i="32"/>
  <c r="P35" i="32" s="1"/>
  <c r="N34" i="32"/>
  <c r="P34" i="32" s="1"/>
  <c r="N33" i="32"/>
  <c r="P33" i="32" s="1"/>
  <c r="N32" i="32"/>
  <c r="P32" i="32" s="1"/>
  <c r="N31" i="32"/>
  <c r="P31" i="32" s="1"/>
  <c r="N30" i="32"/>
  <c r="P30" i="32" s="1"/>
  <c r="N29" i="32"/>
  <c r="P29" i="32" s="1"/>
  <c r="N28" i="32"/>
  <c r="P28" i="32" s="1"/>
  <c r="N27" i="32"/>
  <c r="P27" i="32" s="1"/>
  <c r="P26" i="32"/>
  <c r="P25" i="32"/>
  <c r="N25" i="32"/>
  <c r="P24" i="32"/>
  <c r="P23" i="32"/>
  <c r="P22" i="32"/>
  <c r="N22" i="32"/>
  <c r="P21" i="32"/>
  <c r="N21" i="32"/>
  <c r="P20" i="32"/>
  <c r="N20" i="32"/>
  <c r="P19" i="32"/>
  <c r="N19" i="32"/>
  <c r="P18" i="32"/>
  <c r="N18" i="32"/>
  <c r="P17" i="32"/>
  <c r="N17" i="32"/>
  <c r="P16" i="32"/>
  <c r="N15" i="32"/>
  <c r="P15" i="32" s="1"/>
  <c r="N14" i="32"/>
  <c r="P14" i="32" s="1"/>
  <c r="N13" i="32"/>
  <c r="P13" i="32" s="1"/>
  <c r="N12" i="32"/>
  <c r="P12" i="32" s="1"/>
  <c r="N11" i="32"/>
  <c r="P11" i="32" s="1"/>
  <c r="N10" i="32"/>
  <c r="P10" i="32" s="1"/>
  <c r="N9" i="32"/>
  <c r="P9" i="32" s="1"/>
  <c r="N8" i="32"/>
  <c r="P8" i="32" s="1"/>
  <c r="N7" i="32"/>
  <c r="P7" i="32" s="1"/>
  <c r="N6" i="32"/>
  <c r="N80" i="32" s="1"/>
  <c r="P5" i="32"/>
  <c r="P6" i="32" l="1"/>
  <c r="P80" i="32" s="1"/>
  <c r="M81" i="32" s="1"/>
  <c r="Q73" i="32"/>
  <c r="M228" i="29" l="1"/>
  <c r="P227" i="29"/>
  <c r="P226" i="29"/>
  <c r="P225" i="29"/>
  <c r="P224" i="29"/>
  <c r="N223" i="29"/>
  <c r="P223" i="29" s="1"/>
  <c r="P222" i="29"/>
  <c r="P221" i="29"/>
  <c r="P220" i="29"/>
  <c r="P219" i="29"/>
  <c r="P218" i="29"/>
  <c r="P217" i="29"/>
  <c r="P216" i="29"/>
  <c r="P215" i="29"/>
  <c r="P214" i="29"/>
  <c r="P213" i="29"/>
  <c r="P212" i="29"/>
  <c r="P211" i="29"/>
  <c r="P210" i="29"/>
  <c r="P209" i="29"/>
  <c r="P208" i="29"/>
  <c r="N207" i="29"/>
  <c r="P207" i="29" s="1"/>
  <c r="P206" i="29"/>
  <c r="P205" i="29"/>
  <c r="P204" i="29"/>
  <c r="P203" i="29"/>
  <c r="P202" i="29"/>
  <c r="P201" i="29"/>
  <c r="P200" i="29"/>
  <c r="P199" i="29"/>
  <c r="P198" i="29"/>
  <c r="P197" i="29"/>
  <c r="P196" i="29"/>
  <c r="P195" i="29"/>
  <c r="P194" i="29"/>
  <c r="P193" i="29"/>
  <c r="P192" i="29"/>
  <c r="N191" i="29"/>
  <c r="P191" i="29" s="1"/>
  <c r="N190" i="29"/>
  <c r="P190" i="29" s="1"/>
  <c r="P189" i="29"/>
  <c r="P188" i="29"/>
  <c r="P187" i="29"/>
  <c r="P186" i="29"/>
  <c r="P185" i="29"/>
  <c r="P184" i="29"/>
  <c r="P183" i="29"/>
  <c r="N182" i="29"/>
  <c r="P182" i="29" s="1"/>
  <c r="P181" i="29"/>
  <c r="N181" i="29"/>
  <c r="P180" i="29"/>
  <c r="P179" i="29"/>
  <c r="P178" i="29"/>
  <c r="P177" i="29"/>
  <c r="P176" i="29"/>
  <c r="P175" i="29"/>
  <c r="P174" i="29"/>
  <c r="P173" i="29"/>
  <c r="N172" i="29"/>
  <c r="P172" i="29" s="1"/>
  <c r="P171" i="29"/>
  <c r="P170" i="29"/>
  <c r="P169" i="29"/>
  <c r="N168" i="29"/>
  <c r="P168" i="29" s="1"/>
  <c r="P167" i="29"/>
  <c r="P166" i="29"/>
  <c r="P165" i="29"/>
  <c r="P164" i="29"/>
  <c r="N164" i="29"/>
  <c r="P163" i="29"/>
  <c r="P162" i="29"/>
  <c r="P161" i="29"/>
  <c r="N161" i="29"/>
  <c r="P160" i="29"/>
  <c r="P159" i="29"/>
  <c r="P158" i="29"/>
  <c r="N158" i="29"/>
  <c r="N157" i="29"/>
  <c r="P157" i="29" s="1"/>
  <c r="P156" i="29"/>
  <c r="P155" i="29"/>
  <c r="P154" i="29"/>
  <c r="P153" i="29"/>
  <c r="P152" i="29"/>
  <c r="P151" i="29"/>
  <c r="P150" i="29"/>
  <c r="N149" i="29"/>
  <c r="P149" i="29" s="1"/>
  <c r="P148" i="29"/>
  <c r="P147" i="29"/>
  <c r="P146" i="29"/>
  <c r="P145" i="29"/>
  <c r="P144" i="29"/>
  <c r="P143" i="29"/>
  <c r="P142" i="29"/>
  <c r="P141" i="29"/>
  <c r="P140" i="29"/>
  <c r="P139" i="29"/>
  <c r="P138" i="29"/>
  <c r="P137" i="29"/>
  <c r="P136" i="29"/>
  <c r="P135" i="29"/>
  <c r="P134" i="29"/>
  <c r="P133" i="29"/>
  <c r="P132" i="29"/>
  <c r="P131" i="29"/>
  <c r="P130" i="29"/>
  <c r="P129" i="29"/>
  <c r="P128" i="29"/>
  <c r="P127" i="29"/>
  <c r="P126" i="29"/>
  <c r="P125" i="29"/>
  <c r="N125" i="29"/>
  <c r="P124" i="29"/>
  <c r="P123" i="29"/>
  <c r="P122" i="29"/>
  <c r="N121" i="29"/>
  <c r="P121" i="29" s="1"/>
  <c r="N120" i="29"/>
  <c r="P120" i="29" s="1"/>
  <c r="N119" i="29"/>
  <c r="P119" i="29" s="1"/>
  <c r="N118" i="29"/>
  <c r="P118" i="29" s="1"/>
  <c r="P117" i="29"/>
  <c r="N116" i="29"/>
  <c r="P116" i="29" s="1"/>
  <c r="P115" i="29"/>
  <c r="P114" i="29"/>
  <c r="N114" i="29"/>
  <c r="N113" i="29"/>
  <c r="P113" i="29" s="1"/>
  <c r="P112" i="29"/>
  <c r="P111" i="29"/>
  <c r="P110" i="29"/>
  <c r="P109" i="29"/>
  <c r="P108" i="29"/>
  <c r="P107" i="29"/>
  <c r="P106" i="29"/>
  <c r="P105" i="29"/>
  <c r="P104" i="29"/>
  <c r="N104" i="29"/>
  <c r="N103" i="29"/>
  <c r="P103" i="29" s="1"/>
  <c r="P102" i="29"/>
  <c r="N102" i="29"/>
  <c r="N101" i="29"/>
  <c r="P101" i="29" s="1"/>
  <c r="P100" i="29"/>
  <c r="N99" i="29"/>
  <c r="P99" i="29" s="1"/>
  <c r="P98" i="29"/>
  <c r="N98" i="29"/>
  <c r="N97" i="29"/>
  <c r="P97" i="29" s="1"/>
  <c r="P96" i="29"/>
  <c r="P95" i="29"/>
  <c r="N95" i="29"/>
  <c r="P94" i="29"/>
  <c r="P93" i="29"/>
  <c r="P92" i="29"/>
  <c r="P91" i="29"/>
  <c r="P90" i="29"/>
  <c r="P89" i="29"/>
  <c r="P88" i="29"/>
  <c r="P87" i="29"/>
  <c r="N86" i="29"/>
  <c r="P86" i="29" s="1"/>
  <c r="P85" i="29"/>
  <c r="N85" i="29"/>
  <c r="N84" i="29"/>
  <c r="P84" i="29" s="1"/>
  <c r="P83" i="29"/>
  <c r="P82" i="29"/>
  <c r="N81" i="29"/>
  <c r="P81" i="29" s="1"/>
  <c r="P80" i="29"/>
  <c r="N79" i="29"/>
  <c r="P79" i="29" s="1"/>
  <c r="P78" i="29"/>
  <c r="N78" i="29"/>
  <c r="N77" i="29"/>
  <c r="P77" i="29" s="1"/>
  <c r="P76" i="29"/>
  <c r="N76" i="29"/>
  <c r="N75" i="29"/>
  <c r="P75" i="29" s="1"/>
  <c r="P74" i="29"/>
  <c r="N74" i="29"/>
  <c r="P73" i="29"/>
  <c r="N73" i="29"/>
  <c r="P72" i="29"/>
  <c r="N72" i="29"/>
  <c r="P71" i="29"/>
  <c r="N70" i="29"/>
  <c r="P70" i="29" s="1"/>
  <c r="N69" i="29"/>
  <c r="P69" i="29" s="1"/>
  <c r="N68" i="29"/>
  <c r="P68" i="29" s="1"/>
  <c r="N67" i="29"/>
  <c r="P67" i="29" s="1"/>
  <c r="N66" i="29"/>
  <c r="P66" i="29" s="1"/>
  <c r="N65" i="29"/>
  <c r="P65" i="29" s="1"/>
  <c r="N64" i="29"/>
  <c r="P64" i="29" s="1"/>
  <c r="N63" i="29"/>
  <c r="P63" i="29" s="1"/>
  <c r="N62" i="29"/>
  <c r="P62" i="29" s="1"/>
  <c r="P61" i="29"/>
  <c r="P60" i="29"/>
  <c r="P59" i="29"/>
  <c r="P58" i="29"/>
  <c r="N58" i="29"/>
  <c r="P57" i="29"/>
  <c r="N57" i="29"/>
  <c r="P56" i="29"/>
  <c r="N56" i="29"/>
  <c r="P55" i="29"/>
  <c r="N55" i="29"/>
  <c r="P54" i="29"/>
  <c r="P53" i="29"/>
  <c r="P52" i="29"/>
  <c r="P51" i="29"/>
  <c r="P50" i="29"/>
  <c r="N50" i="29"/>
  <c r="P49" i="29"/>
  <c r="N49" i="29"/>
  <c r="P48" i="29"/>
  <c r="N48" i="29"/>
  <c r="P47" i="29"/>
  <c r="N47" i="29"/>
  <c r="P46" i="29"/>
  <c r="P45" i="29"/>
  <c r="P44" i="29"/>
  <c r="N44" i="29"/>
  <c r="P43" i="29"/>
  <c r="N42" i="29"/>
  <c r="P42" i="29" s="1"/>
  <c r="N41" i="29"/>
  <c r="P41" i="29" s="1"/>
  <c r="N40" i="29"/>
  <c r="P40" i="29" s="1"/>
  <c r="N39" i="29"/>
  <c r="P39" i="29" s="1"/>
  <c r="N38" i="29"/>
  <c r="P38" i="29" s="1"/>
  <c r="P37" i="29"/>
  <c r="P36" i="29"/>
  <c r="P35" i="29"/>
  <c r="P34" i="29"/>
  <c r="N34" i="29"/>
  <c r="P33" i="29"/>
  <c r="N32" i="29"/>
  <c r="P32" i="29" s="1"/>
  <c r="P31" i="29"/>
  <c r="P30" i="29"/>
  <c r="N30" i="29"/>
  <c r="P29" i="29"/>
  <c r="N29" i="29"/>
  <c r="P28" i="29"/>
  <c r="N28" i="29"/>
  <c r="P27" i="29"/>
  <c r="N26" i="29"/>
  <c r="P26" i="29" s="1"/>
  <c r="N25" i="29"/>
  <c r="P25" i="29" s="1"/>
  <c r="N24" i="29"/>
  <c r="P24" i="29" s="1"/>
  <c r="N23" i="29"/>
  <c r="P23" i="29" s="1"/>
  <c r="N22" i="29"/>
  <c r="P22" i="29" s="1"/>
  <c r="N21" i="29"/>
  <c r="P21" i="29" s="1"/>
  <c r="N20" i="29"/>
  <c r="P20" i="29" s="1"/>
  <c r="P19" i="29"/>
  <c r="P18" i="29"/>
  <c r="N18" i="29"/>
  <c r="P17" i="29"/>
  <c r="N17" i="29"/>
  <c r="P16" i="29"/>
  <c r="P15" i="29"/>
  <c r="P14" i="29"/>
  <c r="N14" i="29"/>
  <c r="P13" i="29"/>
  <c r="N13" i="29"/>
  <c r="P12" i="29"/>
  <c r="N12" i="29"/>
  <c r="P10" i="29"/>
  <c r="N10" i="29"/>
  <c r="P9" i="29"/>
  <c r="N9" i="29"/>
  <c r="P8" i="29"/>
  <c r="N8" i="29"/>
  <c r="P7" i="29"/>
  <c r="N7" i="29"/>
  <c r="N228" i="29" s="1"/>
  <c r="P6" i="29"/>
  <c r="P5" i="29"/>
  <c r="P228" i="29" l="1"/>
  <c r="M229" i="29" s="1"/>
  <c r="K13" i="6" l="1"/>
  <c r="M5" i="7" l="1"/>
  <c r="M4" i="7"/>
  <c r="M3" i="7"/>
  <c r="O65" i="19" l="1"/>
  <c r="P65" i="19" s="1"/>
  <c r="O61" i="19"/>
  <c r="O60" i="19"/>
  <c r="O59" i="19"/>
  <c r="B3" i="7" l="1"/>
  <c r="B5" i="7"/>
  <c r="F51" i="24" l="1"/>
  <c r="E55" i="24"/>
  <c r="F55" i="24"/>
  <c r="G32" i="23"/>
  <c r="G31" i="23"/>
  <c r="G30" i="23"/>
  <c r="G29" i="23"/>
  <c r="G28" i="23"/>
  <c r="G27" i="23"/>
  <c r="C82" i="28" l="1"/>
  <c r="C82" i="27"/>
  <c r="E67" i="24" l="1"/>
  <c r="F67" i="24" s="1"/>
  <c r="C218" i="28" l="1"/>
  <c r="C154" i="28"/>
  <c r="C111" i="28"/>
  <c r="E213" i="28"/>
  <c r="F213" i="28" s="1"/>
  <c r="G213" i="28" s="1"/>
  <c r="H213" i="28" s="1"/>
  <c r="I213" i="28" s="1"/>
  <c r="J213" i="28" s="1"/>
  <c r="K213" i="28" s="1"/>
  <c r="E206" i="28"/>
  <c r="F206" i="28" s="1"/>
  <c r="G206" i="28" s="1"/>
  <c r="H206" i="28" s="1"/>
  <c r="I206" i="28" s="1"/>
  <c r="J206" i="28" s="1"/>
  <c r="K206" i="28" s="1"/>
  <c r="E199" i="28"/>
  <c r="F199" i="28" s="1"/>
  <c r="G199" i="28" s="1"/>
  <c r="H199" i="28" s="1"/>
  <c r="I199" i="28" s="1"/>
  <c r="J199" i="28" s="1"/>
  <c r="K199" i="28" s="1"/>
  <c r="E192" i="28"/>
  <c r="F192" i="28" s="1"/>
  <c r="G192" i="28" s="1"/>
  <c r="H192" i="28" s="1"/>
  <c r="I192" i="28" s="1"/>
  <c r="J192" i="28" s="1"/>
  <c r="K192" i="28" s="1"/>
  <c r="E185" i="28"/>
  <c r="F185" i="28" s="1"/>
  <c r="G185" i="28" s="1"/>
  <c r="H185" i="28" s="1"/>
  <c r="I185" i="28" s="1"/>
  <c r="J185" i="28" s="1"/>
  <c r="K185" i="28" s="1"/>
  <c r="E178" i="28"/>
  <c r="F178" i="28" s="1"/>
  <c r="G178" i="28" s="1"/>
  <c r="H178" i="28" s="1"/>
  <c r="I178" i="28" s="1"/>
  <c r="J178" i="28" s="1"/>
  <c r="K178" i="28" s="1"/>
  <c r="E171" i="28"/>
  <c r="F171" i="28" s="1"/>
  <c r="G171" i="28" s="1"/>
  <c r="H171" i="28" s="1"/>
  <c r="I171" i="28" s="1"/>
  <c r="J171" i="28" s="1"/>
  <c r="K171" i="28" s="1"/>
  <c r="E167" i="28"/>
  <c r="F167" i="28" s="1"/>
  <c r="G167" i="28" s="1"/>
  <c r="H167" i="28" s="1"/>
  <c r="I167" i="28" s="1"/>
  <c r="J167" i="28" s="1"/>
  <c r="K167" i="28" s="1"/>
  <c r="E160" i="28"/>
  <c r="F160" i="28" s="1"/>
  <c r="G160" i="28" s="1"/>
  <c r="H160" i="28" s="1"/>
  <c r="I160" i="28" s="1"/>
  <c r="J160" i="28" s="1"/>
  <c r="K160" i="28" s="1"/>
  <c r="E149" i="28"/>
  <c r="F149" i="28" s="1"/>
  <c r="G149" i="28" s="1"/>
  <c r="H149" i="28" s="1"/>
  <c r="I149" i="28" s="1"/>
  <c r="J149" i="28" s="1"/>
  <c r="K149" i="28" s="1"/>
  <c r="E142" i="28"/>
  <c r="F142" i="28" s="1"/>
  <c r="G142" i="28" s="1"/>
  <c r="H142" i="28" s="1"/>
  <c r="I142" i="28" s="1"/>
  <c r="J142" i="28" s="1"/>
  <c r="K142" i="28" s="1"/>
  <c r="E135" i="28"/>
  <c r="F135" i="28" s="1"/>
  <c r="G135" i="28" s="1"/>
  <c r="H135" i="28" s="1"/>
  <c r="I135" i="28" s="1"/>
  <c r="J135" i="28" s="1"/>
  <c r="K135" i="28" s="1"/>
  <c r="E128" i="28"/>
  <c r="F128" i="28" s="1"/>
  <c r="G128" i="28" s="1"/>
  <c r="H128" i="28" s="1"/>
  <c r="I128" i="28" s="1"/>
  <c r="J128" i="28" s="1"/>
  <c r="K128" i="28" s="1"/>
  <c r="E124" i="28"/>
  <c r="F124" i="28" s="1"/>
  <c r="G124" i="28" s="1"/>
  <c r="H124" i="28" s="1"/>
  <c r="I124" i="28" s="1"/>
  <c r="J124" i="28" s="1"/>
  <c r="K124" i="28" s="1"/>
  <c r="E117" i="28"/>
  <c r="F117" i="28" s="1"/>
  <c r="G117" i="28" s="1"/>
  <c r="H117" i="28" s="1"/>
  <c r="I117" i="28" s="1"/>
  <c r="J117" i="28" s="1"/>
  <c r="K117" i="28" s="1"/>
  <c r="E106" i="28"/>
  <c r="F106" i="28" s="1"/>
  <c r="G106" i="28" s="1"/>
  <c r="H106" i="28" s="1"/>
  <c r="I106" i="28" s="1"/>
  <c r="J106" i="28" s="1"/>
  <c r="K106" i="28" s="1"/>
  <c r="E99" i="28"/>
  <c r="F99" i="28" s="1"/>
  <c r="G99" i="28" s="1"/>
  <c r="H99" i="28" s="1"/>
  <c r="I99" i="28" s="1"/>
  <c r="J99" i="28" s="1"/>
  <c r="K99" i="28" s="1"/>
  <c r="E88" i="28"/>
  <c r="F88" i="28" s="1"/>
  <c r="G88" i="28" s="1"/>
  <c r="H88" i="28" s="1"/>
  <c r="I88" i="28" s="1"/>
  <c r="J88" i="28" s="1"/>
  <c r="K88" i="28" s="1"/>
  <c r="E77" i="28"/>
  <c r="F77" i="28" s="1"/>
  <c r="G77" i="28" s="1"/>
  <c r="H77" i="28" s="1"/>
  <c r="I77" i="28" s="1"/>
  <c r="J77" i="28" s="1"/>
  <c r="K77" i="28" s="1"/>
  <c r="E70" i="28"/>
  <c r="F70" i="28" s="1"/>
  <c r="G70" i="28" s="1"/>
  <c r="H70" i="28" s="1"/>
  <c r="I70" i="28" s="1"/>
  <c r="J70" i="28" s="1"/>
  <c r="K70" i="28" s="1"/>
  <c r="E63" i="28"/>
  <c r="F63" i="28" s="1"/>
  <c r="G63" i="28" s="1"/>
  <c r="H63" i="28" s="1"/>
  <c r="I63" i="28" s="1"/>
  <c r="J63" i="28" s="1"/>
  <c r="K63" i="28" s="1"/>
  <c r="E56" i="28"/>
  <c r="F56" i="28" s="1"/>
  <c r="G56" i="28" s="1"/>
  <c r="H56" i="28" s="1"/>
  <c r="I56" i="28" s="1"/>
  <c r="J56" i="28" s="1"/>
  <c r="K56" i="28" s="1"/>
  <c r="E49" i="28"/>
  <c r="F49" i="28" s="1"/>
  <c r="G49" i="28" s="1"/>
  <c r="H49" i="28" s="1"/>
  <c r="I49" i="28" s="1"/>
  <c r="J49" i="28" s="1"/>
  <c r="K49" i="28" s="1"/>
  <c r="E42" i="28"/>
  <c r="F42" i="28" s="1"/>
  <c r="G42" i="28" s="1"/>
  <c r="H42" i="28" s="1"/>
  <c r="I42" i="28" s="1"/>
  <c r="J42" i="28" s="1"/>
  <c r="K42" i="28" s="1"/>
  <c r="E35" i="28"/>
  <c r="F35" i="28" s="1"/>
  <c r="G35" i="28" s="1"/>
  <c r="H35" i="28" s="1"/>
  <c r="I35" i="28" s="1"/>
  <c r="J35" i="28" s="1"/>
  <c r="K35" i="28" s="1"/>
  <c r="E28" i="28"/>
  <c r="F28" i="28" s="1"/>
  <c r="G28" i="28" s="1"/>
  <c r="H28" i="28" s="1"/>
  <c r="I28" i="28" s="1"/>
  <c r="J28" i="28" s="1"/>
  <c r="K28" i="28" s="1"/>
  <c r="E21" i="28"/>
  <c r="F21" i="28" s="1"/>
  <c r="G21" i="28" s="1"/>
  <c r="H21" i="28" s="1"/>
  <c r="I21" i="28" s="1"/>
  <c r="J21" i="28" s="1"/>
  <c r="K21" i="28" s="1"/>
  <c r="E14" i="28"/>
  <c r="F14" i="28" s="1"/>
  <c r="G14" i="28" s="1"/>
  <c r="H14" i="28" s="1"/>
  <c r="I14" i="28" s="1"/>
  <c r="J14" i="28" s="1"/>
  <c r="K14" i="28" s="1"/>
  <c r="C218" i="27"/>
  <c r="C154" i="27"/>
  <c r="C111" i="27"/>
  <c r="E213" i="27"/>
  <c r="F213" i="27" s="1"/>
  <c r="G213" i="27" s="1"/>
  <c r="H213" i="27" s="1"/>
  <c r="I213" i="27" s="1"/>
  <c r="J213" i="27" s="1"/>
  <c r="K213" i="27" s="1"/>
  <c r="E206" i="27"/>
  <c r="F206" i="27" s="1"/>
  <c r="G206" i="27" s="1"/>
  <c r="H206" i="27" s="1"/>
  <c r="I206" i="27" s="1"/>
  <c r="J206" i="27" s="1"/>
  <c r="K206" i="27" s="1"/>
  <c r="E199" i="27"/>
  <c r="F199" i="27" s="1"/>
  <c r="G199" i="27" s="1"/>
  <c r="H199" i="27" s="1"/>
  <c r="I199" i="27" s="1"/>
  <c r="J199" i="27" s="1"/>
  <c r="K199" i="27" s="1"/>
  <c r="E192" i="27"/>
  <c r="F192" i="27" s="1"/>
  <c r="G192" i="27" s="1"/>
  <c r="H192" i="27" s="1"/>
  <c r="I192" i="27" s="1"/>
  <c r="J192" i="27" s="1"/>
  <c r="K192" i="27" s="1"/>
  <c r="E185" i="27"/>
  <c r="F185" i="27" s="1"/>
  <c r="G185" i="27" s="1"/>
  <c r="H185" i="27" s="1"/>
  <c r="I185" i="27" s="1"/>
  <c r="J185" i="27" s="1"/>
  <c r="K185" i="27" s="1"/>
  <c r="E178" i="27"/>
  <c r="F178" i="27" s="1"/>
  <c r="G178" i="27" s="1"/>
  <c r="H178" i="27" s="1"/>
  <c r="I178" i="27" s="1"/>
  <c r="J178" i="27" s="1"/>
  <c r="K178" i="27" s="1"/>
  <c r="E171" i="27"/>
  <c r="F171" i="27" s="1"/>
  <c r="G171" i="27" s="1"/>
  <c r="H171" i="27" s="1"/>
  <c r="I171" i="27" s="1"/>
  <c r="J171" i="27" s="1"/>
  <c r="K171" i="27" s="1"/>
  <c r="E167" i="27"/>
  <c r="F167" i="27" s="1"/>
  <c r="G167" i="27" s="1"/>
  <c r="H167" i="27" s="1"/>
  <c r="I167" i="27" s="1"/>
  <c r="J167" i="27" s="1"/>
  <c r="K167" i="27" s="1"/>
  <c r="E160" i="27"/>
  <c r="F160" i="27" s="1"/>
  <c r="G160" i="27" s="1"/>
  <c r="H160" i="27" s="1"/>
  <c r="I160" i="27" s="1"/>
  <c r="J160" i="27" s="1"/>
  <c r="K160" i="27" s="1"/>
  <c r="E149" i="27"/>
  <c r="F149" i="27" s="1"/>
  <c r="G149" i="27" s="1"/>
  <c r="H149" i="27" s="1"/>
  <c r="I149" i="27" s="1"/>
  <c r="J149" i="27" s="1"/>
  <c r="K149" i="27" s="1"/>
  <c r="E142" i="27"/>
  <c r="F142" i="27" s="1"/>
  <c r="G142" i="27" s="1"/>
  <c r="H142" i="27" s="1"/>
  <c r="I142" i="27" s="1"/>
  <c r="J142" i="27" s="1"/>
  <c r="K142" i="27" s="1"/>
  <c r="E135" i="27"/>
  <c r="F135" i="27" s="1"/>
  <c r="G135" i="27" s="1"/>
  <c r="H135" i="27" s="1"/>
  <c r="I135" i="27" s="1"/>
  <c r="J135" i="27" s="1"/>
  <c r="K135" i="27" s="1"/>
  <c r="E128" i="27"/>
  <c r="F128" i="27" s="1"/>
  <c r="G128" i="27" s="1"/>
  <c r="H128" i="27" s="1"/>
  <c r="I128" i="27" s="1"/>
  <c r="J128" i="27" s="1"/>
  <c r="K128" i="27" s="1"/>
  <c r="E124" i="27"/>
  <c r="F124" i="27" s="1"/>
  <c r="G124" i="27" s="1"/>
  <c r="H124" i="27" s="1"/>
  <c r="I124" i="27" s="1"/>
  <c r="J124" i="27" s="1"/>
  <c r="K124" i="27" s="1"/>
  <c r="E117" i="27"/>
  <c r="F117" i="27" s="1"/>
  <c r="G117" i="27" s="1"/>
  <c r="H117" i="27" s="1"/>
  <c r="I117" i="27" s="1"/>
  <c r="J117" i="27" s="1"/>
  <c r="K117" i="27" s="1"/>
  <c r="E99" i="27"/>
  <c r="F99" i="27" s="1"/>
  <c r="G99" i="27" s="1"/>
  <c r="H99" i="27" s="1"/>
  <c r="I99" i="27" s="1"/>
  <c r="J99" i="27" s="1"/>
  <c r="K99" i="27" s="1"/>
  <c r="E88" i="27"/>
  <c r="F88" i="27" s="1"/>
  <c r="G88" i="27" s="1"/>
  <c r="H88" i="27" s="1"/>
  <c r="I88" i="27" s="1"/>
  <c r="J88" i="27" s="1"/>
  <c r="K88" i="27" s="1"/>
  <c r="E77" i="27"/>
  <c r="F77" i="27" s="1"/>
  <c r="G77" i="27" s="1"/>
  <c r="H77" i="27" s="1"/>
  <c r="I77" i="27" s="1"/>
  <c r="J77" i="27" s="1"/>
  <c r="K77" i="27" s="1"/>
  <c r="E70" i="27"/>
  <c r="F70" i="27" s="1"/>
  <c r="G70" i="27" s="1"/>
  <c r="H70" i="27" s="1"/>
  <c r="I70" i="27" s="1"/>
  <c r="J70" i="27" s="1"/>
  <c r="K70" i="27" s="1"/>
  <c r="E63" i="27"/>
  <c r="F63" i="27" s="1"/>
  <c r="G63" i="27" s="1"/>
  <c r="H63" i="27" s="1"/>
  <c r="I63" i="27" s="1"/>
  <c r="J63" i="27" s="1"/>
  <c r="K63" i="27" s="1"/>
  <c r="E56" i="27"/>
  <c r="F56" i="27" s="1"/>
  <c r="G56" i="27" s="1"/>
  <c r="H56" i="27" s="1"/>
  <c r="I56" i="27" s="1"/>
  <c r="J56" i="27" s="1"/>
  <c r="K56" i="27" s="1"/>
  <c r="E49" i="27"/>
  <c r="F49" i="27" s="1"/>
  <c r="G49" i="27" s="1"/>
  <c r="H49" i="27" s="1"/>
  <c r="I49" i="27" s="1"/>
  <c r="J49" i="27" s="1"/>
  <c r="K49" i="27" s="1"/>
  <c r="E42" i="27"/>
  <c r="F42" i="27" s="1"/>
  <c r="G42" i="27" s="1"/>
  <c r="H42" i="27" s="1"/>
  <c r="I42" i="27" s="1"/>
  <c r="J42" i="27" s="1"/>
  <c r="K42" i="27" s="1"/>
  <c r="E35" i="27"/>
  <c r="F35" i="27" s="1"/>
  <c r="G35" i="27" s="1"/>
  <c r="H35" i="27" s="1"/>
  <c r="I35" i="27" s="1"/>
  <c r="J35" i="27" s="1"/>
  <c r="K35" i="27" s="1"/>
  <c r="E28" i="27"/>
  <c r="F28" i="27" s="1"/>
  <c r="G28" i="27" s="1"/>
  <c r="H28" i="27" s="1"/>
  <c r="I28" i="27" s="1"/>
  <c r="J28" i="27" s="1"/>
  <c r="K28" i="27" s="1"/>
  <c r="E21" i="27"/>
  <c r="F21" i="27" s="1"/>
  <c r="G21" i="27" s="1"/>
  <c r="H21" i="27" s="1"/>
  <c r="I21" i="27" s="1"/>
  <c r="J21" i="27" s="1"/>
  <c r="K21" i="27" s="1"/>
  <c r="E14" i="27"/>
  <c r="F14" i="27" s="1"/>
  <c r="G14" i="27" s="1"/>
  <c r="H14" i="27" s="1"/>
  <c r="I14" i="27" s="1"/>
  <c r="J14" i="27" s="1"/>
  <c r="K14" i="27" s="1"/>
  <c r="N32" i="13" l="1"/>
  <c r="E73" i="24" l="1"/>
  <c r="F73" i="24" s="1"/>
  <c r="E59" i="24"/>
  <c r="E58" i="24"/>
  <c r="L46" i="23" l="1"/>
  <c r="J46" i="23"/>
  <c r="N46" i="23" s="1"/>
  <c r="G33" i="13"/>
  <c r="E33" i="13"/>
  <c r="E69" i="24" l="1"/>
  <c r="F69" i="24" s="1"/>
  <c r="E71" i="24"/>
  <c r="F71" i="24" s="1"/>
  <c r="F66" i="24"/>
  <c r="F65" i="24"/>
  <c r="F16" i="24" l="1"/>
  <c r="F17" i="24"/>
  <c r="F15" i="24"/>
  <c r="F26" i="24" l="1"/>
  <c r="G3" i="23" l="1"/>
  <c r="R8" i="13"/>
  <c r="Q8" i="13"/>
  <c r="P8" i="13"/>
  <c r="O8" i="13"/>
  <c r="M8" i="13"/>
  <c r="J8" i="13"/>
  <c r="N8" i="13"/>
  <c r="T8" i="13"/>
  <c r="F48" i="24"/>
  <c r="F14" i="24" l="1"/>
  <c r="F4" i="24" l="1"/>
  <c r="F35" i="24"/>
  <c r="F47" i="24" l="1"/>
  <c r="F56" i="24"/>
  <c r="F42" i="24"/>
  <c r="E41" i="24"/>
  <c r="F41" i="24" s="1"/>
  <c r="E53" i="24"/>
  <c r="F53" i="24" s="1"/>
  <c r="E44" i="24"/>
  <c r="F44" i="24" s="1"/>
  <c r="F54" i="24"/>
  <c r="F39" i="24"/>
  <c r="F57" i="24" l="1"/>
  <c r="F38" i="24" l="1"/>
  <c r="F33" i="24" l="1"/>
  <c r="F20" i="24"/>
  <c r="B81" i="24" l="1"/>
  <c r="F31" i="24"/>
  <c r="F28" i="24"/>
  <c r="F74" i="24"/>
  <c r="F30" i="24"/>
  <c r="F7" i="24"/>
  <c r="F75" i="24"/>
  <c r="F25" i="24"/>
  <c r="F6" i="24"/>
  <c r="F46" i="24"/>
  <c r="F34" i="24"/>
  <c r="F13" i="24"/>
  <c r="G56" i="23" l="1"/>
  <c r="F49" i="24"/>
  <c r="F22" i="24" l="1"/>
  <c r="E50" i="24"/>
  <c r="F50" i="24" s="1"/>
  <c r="F52" i="24"/>
  <c r="E23" i="24"/>
  <c r="F23" i="24" s="1"/>
  <c r="F72" i="24"/>
  <c r="F3" i="24"/>
  <c r="F5" i="24"/>
  <c r="F27" i="24"/>
  <c r="F21" i="24"/>
  <c r="F29" i="24"/>
  <c r="F40" i="24"/>
  <c r="F61" i="24"/>
  <c r="F62" i="24"/>
  <c r="F37" i="24"/>
  <c r="F43" i="24"/>
  <c r="F58" i="24"/>
  <c r="F59" i="24"/>
  <c r="F45" i="24"/>
  <c r="F24" i="24"/>
  <c r="F32" i="24"/>
  <c r="F19" i="24"/>
  <c r="F68" i="24"/>
  <c r="F63" i="24"/>
  <c r="F64" i="24"/>
  <c r="F70" i="24"/>
  <c r="E57" i="23" l="1"/>
  <c r="D57" i="23"/>
  <c r="D5" i="23"/>
  <c r="F4" i="23"/>
  <c r="D4" i="23"/>
  <c r="B76" i="23"/>
  <c r="B69" i="23"/>
  <c r="F61" i="23"/>
  <c r="E61" i="23"/>
  <c r="D61" i="23"/>
  <c r="F60" i="23"/>
  <c r="E60" i="23"/>
  <c r="D60" i="23"/>
  <c r="F59" i="23"/>
  <c r="E59" i="23"/>
  <c r="D59" i="23"/>
  <c r="D14" i="23"/>
  <c r="D13" i="23"/>
  <c r="F14" i="23"/>
  <c r="F13" i="23"/>
  <c r="E14" i="23"/>
  <c r="E13" i="23"/>
  <c r="F40" i="23"/>
  <c r="E40" i="23"/>
  <c r="D40" i="23"/>
  <c r="F39" i="23"/>
  <c r="E39" i="23"/>
  <c r="D39" i="23"/>
  <c r="F38" i="23"/>
  <c r="E38" i="23"/>
  <c r="D38" i="23"/>
  <c r="F37" i="23"/>
  <c r="E37" i="23"/>
  <c r="D37" i="23"/>
  <c r="F36" i="23"/>
  <c r="E36" i="23"/>
  <c r="D36" i="23"/>
  <c r="D48" i="23"/>
  <c r="E48" i="23"/>
  <c r="F48" i="23"/>
  <c r="G60" i="23" l="1"/>
  <c r="G57" i="23"/>
  <c r="G5" i="23"/>
  <c r="G10" i="23"/>
  <c r="G59" i="23"/>
  <c r="G61" i="23"/>
  <c r="G14" i="23"/>
  <c r="G13" i="23"/>
  <c r="G37" i="23"/>
  <c r="G36" i="23"/>
  <c r="G40" i="23"/>
  <c r="G39" i="23"/>
  <c r="G38" i="23"/>
  <c r="G48" i="23"/>
  <c r="H404" i="21"/>
  <c r="G404" i="21"/>
  <c r="F404" i="21"/>
  <c r="H399" i="21"/>
  <c r="G399" i="21"/>
  <c r="F399" i="21"/>
  <c r="H395" i="21"/>
  <c r="G395" i="21"/>
  <c r="F395" i="21"/>
  <c r="H393" i="21"/>
  <c r="G393" i="21"/>
  <c r="F393" i="21"/>
  <c r="H379" i="21"/>
  <c r="G379" i="21"/>
  <c r="F379" i="21"/>
  <c r="H369" i="21"/>
  <c r="G369" i="21"/>
  <c r="F369" i="21"/>
  <c r="H364" i="21"/>
  <c r="G364" i="21"/>
  <c r="F364" i="21"/>
  <c r="H357" i="21"/>
  <c r="G357" i="21"/>
  <c r="F357" i="21"/>
  <c r="H350" i="21"/>
  <c r="G350" i="21"/>
  <c r="F350" i="21"/>
  <c r="H348" i="21"/>
  <c r="G348" i="21"/>
  <c r="F348" i="21"/>
  <c r="H337" i="21"/>
  <c r="G337" i="21"/>
  <c r="F337" i="21"/>
  <c r="H334" i="21"/>
  <c r="G334" i="21"/>
  <c r="F334" i="21"/>
  <c r="H327" i="21"/>
  <c r="G327" i="21"/>
  <c r="F327" i="21"/>
  <c r="H322" i="21"/>
  <c r="G322" i="21"/>
  <c r="F322" i="21"/>
  <c r="H315" i="21"/>
  <c r="G315" i="21"/>
  <c r="F315" i="21"/>
  <c r="H304" i="21"/>
  <c r="G304" i="21"/>
  <c r="F304" i="21"/>
  <c r="H302" i="21"/>
  <c r="G302" i="21"/>
  <c r="F302" i="21"/>
  <c r="H299" i="21"/>
  <c r="G299" i="21"/>
  <c r="F299" i="21"/>
  <c r="H292" i="21"/>
  <c r="G292" i="21"/>
  <c r="F292" i="21"/>
  <c r="H287" i="21"/>
  <c r="G287" i="21"/>
  <c r="F287" i="21"/>
  <c r="H274" i="21"/>
  <c r="G274" i="21"/>
  <c r="F274" i="21"/>
  <c r="H264" i="21"/>
  <c r="G264" i="21"/>
  <c r="F264" i="21"/>
  <c r="H246" i="21"/>
  <c r="G246" i="21"/>
  <c r="F246" i="21"/>
  <c r="H239" i="21"/>
  <c r="G239" i="21"/>
  <c r="F239" i="21"/>
  <c r="H236" i="21"/>
  <c r="G236" i="21"/>
  <c r="F236" i="21"/>
  <c r="H232" i="21"/>
  <c r="G232" i="21"/>
  <c r="F232" i="21"/>
  <c r="H224" i="21"/>
  <c r="G224" i="21"/>
  <c r="F224" i="21"/>
  <c r="H220" i="21"/>
  <c r="G220" i="21"/>
  <c r="F220" i="21"/>
  <c r="H217" i="21"/>
  <c r="G217" i="21"/>
  <c r="F217" i="21"/>
  <c r="H213" i="21"/>
  <c r="G213" i="21"/>
  <c r="F213" i="21"/>
  <c r="H199" i="21"/>
  <c r="G199" i="21"/>
  <c r="F199" i="21"/>
  <c r="H197" i="21"/>
  <c r="G197" i="21"/>
  <c r="F197" i="21"/>
  <c r="H193" i="21"/>
  <c r="G193" i="21"/>
  <c r="F193" i="21"/>
  <c r="H188" i="21"/>
  <c r="G188" i="21"/>
  <c r="F188" i="21"/>
  <c r="H181" i="21"/>
  <c r="G181" i="21"/>
  <c r="F181" i="21"/>
  <c r="H178" i="21"/>
  <c r="G178" i="21"/>
  <c r="F178" i="21"/>
  <c r="H176" i="21"/>
  <c r="G176" i="21"/>
  <c r="F176" i="21"/>
  <c r="H171" i="21"/>
  <c r="G171" i="21"/>
  <c r="F171" i="21"/>
  <c r="H164" i="21"/>
  <c r="G164" i="21"/>
  <c r="F164" i="21"/>
  <c r="H157" i="21"/>
  <c r="G157" i="21"/>
  <c r="F157" i="21"/>
  <c r="H150" i="21"/>
  <c r="G150" i="21"/>
  <c r="F150" i="21"/>
  <c r="H148" i="21"/>
  <c r="G148" i="21"/>
  <c r="F148" i="21"/>
  <c r="H146" i="21"/>
  <c r="G146" i="21"/>
  <c r="F146" i="21"/>
  <c r="H144" i="21"/>
  <c r="G144" i="21"/>
  <c r="F144" i="21"/>
  <c r="H143" i="21"/>
  <c r="G143" i="21"/>
  <c r="F143" i="21"/>
  <c r="H139" i="21"/>
  <c r="G139" i="21"/>
  <c r="F139" i="21"/>
  <c r="H137" i="21"/>
  <c r="G137" i="21"/>
  <c r="F137" i="21"/>
  <c r="H134" i="21"/>
  <c r="G134" i="21"/>
  <c r="F134" i="21"/>
  <c r="H129" i="21"/>
  <c r="G129" i="21"/>
  <c r="F129" i="21"/>
  <c r="H108" i="21"/>
  <c r="G108" i="21"/>
  <c r="F108" i="21"/>
  <c r="H101" i="21"/>
  <c r="G101" i="21"/>
  <c r="F101" i="21"/>
  <c r="H97" i="21"/>
  <c r="G97" i="21"/>
  <c r="F97" i="21"/>
  <c r="H94" i="21"/>
  <c r="G94" i="21"/>
  <c r="F94" i="21"/>
  <c r="H92" i="21"/>
  <c r="G92" i="21"/>
  <c r="F92" i="21"/>
  <c r="H87" i="21"/>
  <c r="G87" i="21"/>
  <c r="F87" i="21"/>
  <c r="H80" i="21"/>
  <c r="G80" i="21"/>
  <c r="F80" i="21"/>
  <c r="H76" i="21"/>
  <c r="G76" i="21"/>
  <c r="F76" i="21"/>
  <c r="H74" i="21"/>
  <c r="G74" i="21"/>
  <c r="F74" i="21"/>
  <c r="H66" i="21"/>
  <c r="G66" i="21"/>
  <c r="F66" i="21"/>
  <c r="H64" i="21"/>
  <c r="G64" i="21"/>
  <c r="F64" i="21"/>
  <c r="H55" i="21"/>
  <c r="G55" i="21"/>
  <c r="F55" i="21"/>
  <c r="H48" i="21"/>
  <c r="G48" i="21"/>
  <c r="F48" i="21"/>
  <c r="H43" i="21"/>
  <c r="G43" i="21"/>
  <c r="F43" i="21"/>
  <c r="H36" i="21"/>
  <c r="G36" i="21"/>
  <c r="F36" i="21"/>
  <c r="H31" i="21"/>
  <c r="G31" i="21"/>
  <c r="F31" i="21"/>
  <c r="H27" i="21"/>
  <c r="G27" i="21"/>
  <c r="F27" i="21"/>
  <c r="H24" i="21"/>
  <c r="G24" i="21"/>
  <c r="F24" i="21"/>
  <c r="H15" i="21"/>
  <c r="G15" i="21"/>
  <c r="F15" i="21"/>
  <c r="H13" i="21"/>
  <c r="G13" i="21"/>
  <c r="F13" i="21"/>
  <c r="H11" i="21"/>
  <c r="G11" i="21"/>
  <c r="F11" i="21"/>
  <c r="H10" i="21"/>
  <c r="G10" i="21"/>
  <c r="F10" i="21"/>
  <c r="H5" i="21"/>
  <c r="G5" i="21"/>
  <c r="F5" i="21"/>
  <c r="H4" i="21"/>
  <c r="G4" i="21"/>
  <c r="F4" i="21"/>
  <c r="N9" i="13"/>
  <c r="J9" i="13"/>
  <c r="G62" i="23" l="1"/>
  <c r="D12" i="24" s="1"/>
  <c r="F12" i="24" s="1"/>
  <c r="G58" i="23"/>
  <c r="D18" i="24" s="1"/>
  <c r="F18" i="24" s="1"/>
  <c r="R12" i="13"/>
  <c r="Q12" i="13"/>
  <c r="P12" i="13"/>
  <c r="O12" i="13"/>
  <c r="R27" i="13" l="1"/>
  <c r="Q27" i="13"/>
  <c r="P27" i="13"/>
  <c r="O27" i="13"/>
  <c r="R18" i="13" l="1"/>
  <c r="Q18" i="13"/>
  <c r="P18" i="13"/>
  <c r="O18" i="13"/>
  <c r="O16" i="13"/>
  <c r="J18" i="13"/>
  <c r="M18" i="13" s="1"/>
  <c r="N18" i="13"/>
  <c r="T18" i="13"/>
  <c r="A22" i="13" l="1"/>
  <c r="F8" i="23" l="1"/>
  <c r="F46" i="23"/>
  <c r="D17" i="23"/>
  <c r="F17" i="23"/>
  <c r="E17" i="23"/>
  <c r="F43" i="23"/>
  <c r="E35" i="23"/>
  <c r="D34" i="23"/>
  <c r="F42" i="23"/>
  <c r="E41" i="23"/>
  <c r="D25" i="23"/>
  <c r="F51" i="23"/>
  <c r="E50" i="23"/>
  <c r="D49" i="23"/>
  <c r="D41" i="23"/>
  <c r="E51" i="23"/>
  <c r="E52" i="23"/>
  <c r="F50" i="23"/>
  <c r="E46" i="23"/>
  <c r="D16" i="23"/>
  <c r="F16" i="23"/>
  <c r="E16" i="23"/>
  <c r="F22" i="23"/>
  <c r="E43" i="23"/>
  <c r="D35" i="23"/>
  <c r="F33" i="23"/>
  <c r="E42" i="23"/>
  <c r="F24" i="23"/>
  <c r="F52" i="23"/>
  <c r="D50" i="23"/>
  <c r="D51" i="23"/>
  <c r="E49" i="23"/>
  <c r="E8" i="23"/>
  <c r="D46" i="23"/>
  <c r="D15" i="23"/>
  <c r="F15" i="23"/>
  <c r="E15" i="23"/>
  <c r="E22" i="23"/>
  <c r="D43" i="23"/>
  <c r="F34" i="23"/>
  <c r="E33" i="23"/>
  <c r="D42" i="23"/>
  <c r="F25" i="23"/>
  <c r="E24" i="23"/>
  <c r="F49" i="23"/>
  <c r="D8" i="23"/>
  <c r="D22" i="23"/>
  <c r="F35" i="23"/>
  <c r="E34" i="23"/>
  <c r="D33" i="23"/>
  <c r="F41" i="23"/>
  <c r="E25" i="23"/>
  <c r="D24" i="23"/>
  <c r="D52" i="23"/>
  <c r="H411" i="21"/>
  <c r="G410" i="21"/>
  <c r="F409" i="21"/>
  <c r="G402" i="21"/>
  <c r="F397" i="21"/>
  <c r="G386" i="21"/>
  <c r="F385" i="21"/>
  <c r="H383" i="21"/>
  <c r="G382" i="21"/>
  <c r="F381" i="21"/>
  <c r="H375" i="21"/>
  <c r="G374" i="21"/>
  <c r="H367" i="21"/>
  <c r="F365" i="21"/>
  <c r="G358" i="21"/>
  <c r="F353" i="21"/>
  <c r="H351" i="21"/>
  <c r="H347" i="21"/>
  <c r="G346" i="21"/>
  <c r="F341" i="21"/>
  <c r="H339" i="21"/>
  <c r="F333" i="21"/>
  <c r="G330" i="21"/>
  <c r="G326" i="21"/>
  <c r="F325" i="21"/>
  <c r="G318" i="21"/>
  <c r="G314" i="21"/>
  <c r="H311" i="21"/>
  <c r="F309" i="21"/>
  <c r="G306" i="21"/>
  <c r="F305" i="21"/>
  <c r="G298" i="21"/>
  <c r="F297" i="21"/>
  <c r="H416" i="21"/>
  <c r="G411" i="21"/>
  <c r="F410" i="21"/>
  <c r="F402" i="21"/>
  <c r="H396" i="21"/>
  <c r="H388" i="21"/>
  <c r="F386" i="21"/>
  <c r="G383" i="21"/>
  <c r="F382" i="21"/>
  <c r="G375" i="21"/>
  <c r="F374" i="21"/>
  <c r="H372" i="21"/>
  <c r="H368" i="21"/>
  <c r="G367" i="21"/>
  <c r="H360" i="21"/>
  <c r="F358" i="21"/>
  <c r="H356" i="21"/>
  <c r="G351" i="21"/>
  <c r="G347" i="21"/>
  <c r="F346" i="21"/>
  <c r="H340" i="21"/>
  <c r="G339" i="21"/>
  <c r="H336" i="21"/>
  <c r="H332" i="21"/>
  <c r="F330" i="21"/>
  <c r="F326" i="21"/>
  <c r="F318" i="21"/>
  <c r="H316" i="21"/>
  <c r="F314" i="21"/>
  <c r="G311" i="21"/>
  <c r="F306" i="21"/>
  <c r="F298" i="21"/>
  <c r="G295" i="21"/>
  <c r="G416" i="21"/>
  <c r="F411" i="21"/>
  <c r="H409" i="21"/>
  <c r="H397" i="21"/>
  <c r="G396" i="21"/>
  <c r="G388" i="21"/>
  <c r="H385" i="21"/>
  <c r="F383" i="21"/>
  <c r="H381" i="21"/>
  <c r="F375" i="21"/>
  <c r="G372" i="21"/>
  <c r="G368" i="21"/>
  <c r="F367" i="21"/>
  <c r="H365" i="21"/>
  <c r="G360" i="21"/>
  <c r="G356" i="21"/>
  <c r="H353" i="21"/>
  <c r="F351" i="21"/>
  <c r="F347" i="21"/>
  <c r="H341" i="21"/>
  <c r="G340" i="21"/>
  <c r="F339" i="21"/>
  <c r="G336" i="21"/>
  <c r="H333" i="21"/>
  <c r="G332" i="21"/>
  <c r="H325" i="21"/>
  <c r="G316" i="21"/>
  <c r="F311" i="21"/>
  <c r="H309" i="21"/>
  <c r="H305" i="21"/>
  <c r="H297" i="21"/>
  <c r="F295" i="21"/>
  <c r="F416" i="21"/>
  <c r="H410" i="21"/>
  <c r="G409" i="21"/>
  <c r="H402" i="21"/>
  <c r="G397" i="21"/>
  <c r="F396" i="21"/>
  <c r="F388" i="21"/>
  <c r="H386" i="21"/>
  <c r="G385" i="21"/>
  <c r="H382" i="21"/>
  <c r="G381" i="21"/>
  <c r="H374" i="21"/>
  <c r="F372" i="21"/>
  <c r="F368" i="21"/>
  <c r="G365" i="21"/>
  <c r="F360" i="21"/>
  <c r="H358" i="21"/>
  <c r="F356" i="21"/>
  <c r="G353" i="21"/>
  <c r="H346" i="21"/>
  <c r="G341" i="21"/>
  <c r="F340" i="21"/>
  <c r="F336" i="21"/>
  <c r="G333" i="21"/>
  <c r="F332" i="21"/>
  <c r="H330" i="21"/>
  <c r="H326" i="21"/>
  <c r="G325" i="21"/>
  <c r="H318" i="21"/>
  <c r="F316" i="21"/>
  <c r="H314" i="21"/>
  <c r="G309" i="21"/>
  <c r="H306" i="21"/>
  <c r="G305" i="21"/>
  <c r="H298" i="21"/>
  <c r="H290" i="21"/>
  <c r="H286" i="21"/>
  <c r="G281" i="21"/>
  <c r="F280" i="21"/>
  <c r="H278" i="21"/>
  <c r="G277" i="21"/>
  <c r="F276" i="21"/>
  <c r="H270" i="21"/>
  <c r="G269" i="21"/>
  <c r="H262" i="21"/>
  <c r="F260" i="21"/>
  <c r="F256" i="21"/>
  <c r="G253" i="21"/>
  <c r="H250" i="21"/>
  <c r="G249" i="21"/>
  <c r="F248" i="21"/>
  <c r="H242" i="21"/>
  <c r="G241" i="21"/>
  <c r="H238" i="21"/>
  <c r="H234" i="21"/>
  <c r="G229" i="21"/>
  <c r="F228" i="21"/>
  <c r="G225" i="21"/>
  <c r="G221" i="21"/>
  <c r="H214" i="21"/>
  <c r="F212" i="21"/>
  <c r="H210" i="21"/>
  <c r="G209" i="21"/>
  <c r="H206" i="21"/>
  <c r="F204" i="21"/>
  <c r="H202" i="21"/>
  <c r="F196" i="21"/>
  <c r="F192" i="21"/>
  <c r="G189" i="21"/>
  <c r="G185" i="21"/>
  <c r="H182" i="21"/>
  <c r="H174" i="21"/>
  <c r="G169" i="21"/>
  <c r="F168" i="21"/>
  <c r="G165" i="21"/>
  <c r="G161" i="21"/>
  <c r="F160" i="21"/>
  <c r="H158" i="21"/>
  <c r="G297" i="21"/>
  <c r="H291" i="21"/>
  <c r="G290" i="21"/>
  <c r="G286" i="21"/>
  <c r="H283" i="21"/>
  <c r="F281" i="21"/>
  <c r="G278" i="21"/>
  <c r="F277" i="21"/>
  <c r="H271" i="21"/>
  <c r="G270" i="21"/>
  <c r="F269" i="21"/>
  <c r="H267" i="21"/>
  <c r="H263" i="21"/>
  <c r="G262" i="21"/>
  <c r="H259" i="21"/>
  <c r="H255" i="21"/>
  <c r="F253" i="21"/>
  <c r="G250" i="21"/>
  <c r="F249" i="21"/>
  <c r="H243" i="21"/>
  <c r="G242" i="21"/>
  <c r="F241" i="21"/>
  <c r="G238" i="21"/>
  <c r="H235" i="21"/>
  <c r="G234" i="21"/>
  <c r="F229" i="21"/>
  <c r="H227" i="21"/>
  <c r="F225" i="21"/>
  <c r="F221" i="21"/>
  <c r="H215" i="21"/>
  <c r="G214" i="21"/>
  <c r="G210" i="21"/>
  <c r="F209" i="21"/>
  <c r="G206" i="21"/>
  <c r="G202" i="21"/>
  <c r="H195" i="21"/>
  <c r="F189" i="21"/>
  <c r="F185" i="21"/>
  <c r="G182" i="21"/>
  <c r="H179" i="21"/>
  <c r="G291" i="21"/>
  <c r="F290" i="21"/>
  <c r="F286" i="21"/>
  <c r="G283" i="21"/>
  <c r="H280" i="21"/>
  <c r="F278" i="21"/>
  <c r="H276" i="21"/>
  <c r="G271" i="21"/>
  <c r="F270" i="21"/>
  <c r="G267" i="21"/>
  <c r="G263" i="21"/>
  <c r="F262" i="21"/>
  <c r="H260" i="21"/>
  <c r="G259" i="21"/>
  <c r="H256" i="21"/>
  <c r="G255" i="21"/>
  <c r="F250" i="21"/>
  <c r="H248" i="21"/>
  <c r="G243" i="21"/>
  <c r="F242" i="21"/>
  <c r="F238" i="21"/>
  <c r="G235" i="21"/>
  <c r="F234" i="21"/>
  <c r="H228" i="21"/>
  <c r="G227" i="21"/>
  <c r="G215" i="21"/>
  <c r="F214" i="21"/>
  <c r="H212" i="21"/>
  <c r="F210" i="21"/>
  <c r="F206" i="21"/>
  <c r="H204" i="21"/>
  <c r="F202" i="21"/>
  <c r="H196" i="21"/>
  <c r="G195" i="21"/>
  <c r="H192" i="21"/>
  <c r="F182" i="21"/>
  <c r="G179" i="21"/>
  <c r="F174" i="21"/>
  <c r="H168" i="21"/>
  <c r="G167" i="21"/>
  <c r="H295" i="21"/>
  <c r="F291" i="21"/>
  <c r="F283" i="21"/>
  <c r="H281" i="21"/>
  <c r="G280" i="21"/>
  <c r="H277" i="21"/>
  <c r="G276" i="21"/>
  <c r="F271" i="21"/>
  <c r="H269" i="21"/>
  <c r="F267" i="21"/>
  <c r="F263" i="21"/>
  <c r="G260" i="21"/>
  <c r="F259" i="21"/>
  <c r="G256" i="21"/>
  <c r="F255" i="21"/>
  <c r="H253" i="21"/>
  <c r="H249" i="21"/>
  <c r="G248" i="21"/>
  <c r="F243" i="21"/>
  <c r="H241" i="21"/>
  <c r="F235" i="21"/>
  <c r="H229" i="21"/>
  <c r="G228" i="21"/>
  <c r="F227" i="21"/>
  <c r="H225" i="21"/>
  <c r="H221" i="21"/>
  <c r="F215" i="21"/>
  <c r="G212" i="21"/>
  <c r="H209" i="21"/>
  <c r="G204" i="21"/>
  <c r="G196" i="21"/>
  <c r="F195" i="21"/>
  <c r="G192" i="21"/>
  <c r="H189" i="21"/>
  <c r="H185" i="21"/>
  <c r="F179" i="21"/>
  <c r="G168" i="21"/>
  <c r="H165" i="21"/>
  <c r="H161" i="21"/>
  <c r="F158" i="21"/>
  <c r="H156" i="21"/>
  <c r="G155" i="21"/>
  <c r="G151" i="21"/>
  <c r="H140" i="21"/>
  <c r="H136" i="21"/>
  <c r="H132" i="21"/>
  <c r="G127" i="21"/>
  <c r="F122" i="21"/>
  <c r="G119" i="21"/>
  <c r="F118" i="21"/>
  <c r="H116" i="21"/>
  <c r="G115" i="21"/>
  <c r="F114" i="21"/>
  <c r="G111" i="21"/>
  <c r="G107" i="21"/>
  <c r="F106" i="21"/>
  <c r="H104" i="21"/>
  <c r="F102" i="21"/>
  <c r="F98" i="21"/>
  <c r="G91" i="21"/>
  <c r="F90" i="21"/>
  <c r="H88" i="21"/>
  <c r="H84" i="21"/>
  <c r="G83" i="21"/>
  <c r="G79" i="21"/>
  <c r="F78" i="21"/>
  <c r="G71" i="21"/>
  <c r="F70" i="21"/>
  <c r="F62" i="21"/>
  <c r="G59" i="21"/>
  <c r="H56" i="21"/>
  <c r="H52" i="21"/>
  <c r="F46" i="21"/>
  <c r="G39" i="21"/>
  <c r="F38" i="21"/>
  <c r="F34" i="21"/>
  <c r="H32" i="21"/>
  <c r="H28" i="21"/>
  <c r="F22" i="21"/>
  <c r="H20" i="21"/>
  <c r="H167" i="21"/>
  <c r="F165" i="21"/>
  <c r="F161" i="21"/>
  <c r="G156" i="21"/>
  <c r="F155" i="21"/>
  <c r="H153" i="21"/>
  <c r="F151" i="21"/>
  <c r="H149" i="21"/>
  <c r="G140" i="21"/>
  <c r="G136" i="21"/>
  <c r="H133" i="21"/>
  <c r="G132" i="21"/>
  <c r="F127" i="21"/>
  <c r="H125" i="21"/>
  <c r="F119" i="21"/>
  <c r="G116" i="21"/>
  <c r="F115" i="21"/>
  <c r="H113" i="21"/>
  <c r="F111" i="21"/>
  <c r="H109" i="21"/>
  <c r="F107" i="21"/>
  <c r="G104" i="21"/>
  <c r="F91" i="21"/>
  <c r="G88" i="21"/>
  <c r="G84" i="21"/>
  <c r="F83" i="21"/>
  <c r="F79" i="21"/>
  <c r="H73" i="21"/>
  <c r="F71" i="21"/>
  <c r="H69" i="21"/>
  <c r="F59" i="21"/>
  <c r="G56" i="21"/>
  <c r="G52" i="21"/>
  <c r="H49" i="21"/>
  <c r="H45" i="21"/>
  <c r="H41" i="21"/>
  <c r="F39" i="21"/>
  <c r="G32" i="21"/>
  <c r="G174" i="21"/>
  <c r="H169" i="21"/>
  <c r="F167" i="21"/>
  <c r="H160" i="21"/>
  <c r="F156" i="21"/>
  <c r="G153" i="21"/>
  <c r="G149" i="21"/>
  <c r="F140" i="21"/>
  <c r="F136" i="21"/>
  <c r="G133" i="21"/>
  <c r="F132" i="21"/>
  <c r="G125" i="21"/>
  <c r="H122" i="21"/>
  <c r="H118" i="21"/>
  <c r="F116" i="21"/>
  <c r="H114" i="21"/>
  <c r="G113" i="21"/>
  <c r="G109" i="21"/>
  <c r="H106" i="21"/>
  <c r="F104" i="21"/>
  <c r="H102" i="21"/>
  <c r="H98" i="21"/>
  <c r="H90" i="21"/>
  <c r="F88" i="21"/>
  <c r="F84" i="21"/>
  <c r="H78" i="21"/>
  <c r="G73" i="21"/>
  <c r="H70" i="21"/>
  <c r="G69" i="21"/>
  <c r="H62" i="21"/>
  <c r="F56" i="21"/>
  <c r="F52" i="21"/>
  <c r="G49" i="21"/>
  <c r="H46" i="21"/>
  <c r="G45" i="21"/>
  <c r="G41" i="21"/>
  <c r="H38" i="21"/>
  <c r="H34" i="21"/>
  <c r="F32" i="21"/>
  <c r="F28" i="21"/>
  <c r="G25" i="21"/>
  <c r="H22" i="21"/>
  <c r="G21" i="21"/>
  <c r="F20" i="21"/>
  <c r="F169" i="21"/>
  <c r="G160" i="21"/>
  <c r="G158" i="21"/>
  <c r="H155" i="21"/>
  <c r="F153" i="21"/>
  <c r="H151" i="21"/>
  <c r="F149" i="21"/>
  <c r="F133" i="21"/>
  <c r="H127" i="21"/>
  <c r="F125" i="21"/>
  <c r="G122" i="21"/>
  <c r="H119" i="21"/>
  <c r="G118" i="21"/>
  <c r="H115" i="21"/>
  <c r="G114" i="21"/>
  <c r="F113" i="21"/>
  <c r="H111" i="21"/>
  <c r="F109" i="21"/>
  <c r="H107" i="21"/>
  <c r="G106" i="21"/>
  <c r="G102" i="21"/>
  <c r="G98" i="21"/>
  <c r="H91" i="21"/>
  <c r="G90" i="21"/>
  <c r="H83" i="21"/>
  <c r="H79" i="21"/>
  <c r="G78" i="21"/>
  <c r="F73" i="21"/>
  <c r="H71" i="21"/>
  <c r="G70" i="21"/>
  <c r="F69" i="21"/>
  <c r="G62" i="21"/>
  <c r="H59" i="21"/>
  <c r="F49" i="21"/>
  <c r="G46" i="21"/>
  <c r="F45" i="21"/>
  <c r="F41" i="21"/>
  <c r="H39" i="21"/>
  <c r="G38" i="21"/>
  <c r="G34" i="21"/>
  <c r="G20" i="21"/>
  <c r="H17" i="21"/>
  <c r="F7" i="21"/>
  <c r="F3" i="21"/>
  <c r="G6" i="21"/>
  <c r="G3" i="21"/>
  <c r="G7" i="21"/>
  <c r="G28" i="21"/>
  <c r="G22" i="21"/>
  <c r="G17" i="21"/>
  <c r="H6" i="21"/>
  <c r="H25" i="21"/>
  <c r="H21" i="21"/>
  <c r="F17" i="21"/>
  <c r="H7" i="21"/>
  <c r="F6" i="21"/>
  <c r="F25" i="21"/>
  <c r="F21" i="21"/>
  <c r="H3" i="21"/>
  <c r="T63" i="13"/>
  <c r="A63" i="13"/>
  <c r="T60" i="13"/>
  <c r="A60" i="13"/>
  <c r="G35" i="23" l="1"/>
  <c r="G34" i="23"/>
  <c r="G41" i="23"/>
  <c r="G51" i="23"/>
  <c r="G49" i="23"/>
  <c r="G52" i="23"/>
  <c r="G50" i="23"/>
  <c r="G24" i="23"/>
  <c r="G8" i="23"/>
  <c r="G43" i="23"/>
  <c r="G22" i="23"/>
  <c r="G42" i="23"/>
  <c r="G17" i="23"/>
  <c r="G15" i="23"/>
  <c r="G33" i="23"/>
  <c r="G25" i="23"/>
  <c r="G16" i="23"/>
  <c r="G46" i="23"/>
  <c r="R47" i="13"/>
  <c r="Q47" i="13"/>
  <c r="P47" i="13"/>
  <c r="O47" i="13"/>
  <c r="N47" i="13"/>
  <c r="J47" i="13"/>
  <c r="E210" i="19" l="1"/>
  <c r="F210" i="19" s="1"/>
  <c r="G210" i="19" s="1"/>
  <c r="H210" i="19" s="1"/>
  <c r="I210" i="19" s="1"/>
  <c r="J210" i="19" s="1"/>
  <c r="K210" i="19" s="1"/>
  <c r="E203" i="19"/>
  <c r="F203" i="19" s="1"/>
  <c r="G203" i="19" s="1"/>
  <c r="H203" i="19" s="1"/>
  <c r="I203" i="19" s="1"/>
  <c r="J203" i="19" s="1"/>
  <c r="K203" i="19" s="1"/>
  <c r="E196" i="19"/>
  <c r="F196" i="19" s="1"/>
  <c r="G196" i="19" s="1"/>
  <c r="H196" i="19" s="1"/>
  <c r="I196" i="19" s="1"/>
  <c r="J196" i="19" s="1"/>
  <c r="K196" i="19" s="1"/>
  <c r="E189" i="19"/>
  <c r="F189" i="19" s="1"/>
  <c r="G189" i="19" s="1"/>
  <c r="H189" i="19" s="1"/>
  <c r="I189" i="19" s="1"/>
  <c r="J189" i="19" s="1"/>
  <c r="K189" i="19" s="1"/>
  <c r="E182" i="19"/>
  <c r="F182" i="19" s="1"/>
  <c r="G182" i="19" s="1"/>
  <c r="H182" i="19" s="1"/>
  <c r="I182" i="19" s="1"/>
  <c r="J182" i="19" s="1"/>
  <c r="K182" i="19" s="1"/>
  <c r="E175" i="19"/>
  <c r="F175" i="19" s="1"/>
  <c r="G175" i="19" s="1"/>
  <c r="H175" i="19" s="1"/>
  <c r="I175" i="19" s="1"/>
  <c r="J175" i="19" s="1"/>
  <c r="K175" i="19" s="1"/>
  <c r="E168" i="19"/>
  <c r="F168" i="19" s="1"/>
  <c r="G168" i="19" s="1"/>
  <c r="H168" i="19" s="1"/>
  <c r="I168" i="19" s="1"/>
  <c r="J168" i="19" s="1"/>
  <c r="K168" i="19" s="1"/>
  <c r="E147" i="19"/>
  <c r="F147" i="19" s="1"/>
  <c r="G147" i="19" s="1"/>
  <c r="H147" i="19" s="1"/>
  <c r="I147" i="19" s="1"/>
  <c r="J147" i="19" s="1"/>
  <c r="K147" i="19" s="1"/>
  <c r="E140" i="19"/>
  <c r="F140" i="19" s="1"/>
  <c r="G140" i="19" s="1"/>
  <c r="H140" i="19" s="1"/>
  <c r="I140" i="19" s="1"/>
  <c r="J140" i="19" s="1"/>
  <c r="K140" i="19" s="1"/>
  <c r="E133" i="19"/>
  <c r="F133" i="19" s="1"/>
  <c r="G133" i="19" s="1"/>
  <c r="H133" i="19" s="1"/>
  <c r="I133" i="19" s="1"/>
  <c r="J133" i="19" s="1"/>
  <c r="K133" i="19" s="1"/>
  <c r="E126" i="19"/>
  <c r="F126" i="19" s="1"/>
  <c r="G126" i="19" s="1"/>
  <c r="H126" i="19" s="1"/>
  <c r="I126" i="19" s="1"/>
  <c r="J126" i="19" s="1"/>
  <c r="K126" i="19" s="1"/>
  <c r="E105" i="19"/>
  <c r="F105" i="19" s="1"/>
  <c r="G105" i="19" s="1"/>
  <c r="H105" i="19" s="1"/>
  <c r="I105" i="19" s="1"/>
  <c r="J105" i="19" s="1"/>
  <c r="K105" i="19" s="1"/>
  <c r="E98" i="19"/>
  <c r="F98" i="19" s="1"/>
  <c r="G98" i="19" s="1"/>
  <c r="H98" i="19" s="1"/>
  <c r="I98" i="19" s="1"/>
  <c r="J98" i="19" s="1"/>
  <c r="K98" i="19" s="1"/>
  <c r="E77" i="19"/>
  <c r="F77" i="19" s="1"/>
  <c r="G77" i="19" s="1"/>
  <c r="H77" i="19" s="1"/>
  <c r="I77" i="19" s="1"/>
  <c r="J77" i="19" s="1"/>
  <c r="K77" i="19" s="1"/>
  <c r="E70" i="19"/>
  <c r="F70" i="19" s="1"/>
  <c r="G70" i="19" s="1"/>
  <c r="H70" i="19" s="1"/>
  <c r="I70" i="19" s="1"/>
  <c r="J70" i="19" s="1"/>
  <c r="K70" i="19" s="1"/>
  <c r="E63" i="19"/>
  <c r="F63" i="19" s="1"/>
  <c r="G63" i="19" s="1"/>
  <c r="H63" i="19" s="1"/>
  <c r="I63" i="19" s="1"/>
  <c r="J63" i="19" s="1"/>
  <c r="K63" i="19" s="1"/>
  <c r="E56" i="19"/>
  <c r="F56" i="19" s="1"/>
  <c r="G56" i="19" s="1"/>
  <c r="H56" i="19" s="1"/>
  <c r="I56" i="19" s="1"/>
  <c r="J56" i="19" s="1"/>
  <c r="K56" i="19" s="1"/>
  <c r="E49" i="19"/>
  <c r="F49" i="19" s="1"/>
  <c r="G49" i="19" s="1"/>
  <c r="H49" i="19" s="1"/>
  <c r="I49" i="19" s="1"/>
  <c r="J49" i="19" s="1"/>
  <c r="K49" i="19" s="1"/>
  <c r="E42" i="19"/>
  <c r="F42" i="19" s="1"/>
  <c r="G42" i="19" s="1"/>
  <c r="H42" i="19" s="1"/>
  <c r="I42" i="19" s="1"/>
  <c r="J42" i="19" s="1"/>
  <c r="K42" i="19" s="1"/>
  <c r="E28" i="19"/>
  <c r="F28" i="19" s="1"/>
  <c r="G28" i="19" s="1"/>
  <c r="H28" i="19" s="1"/>
  <c r="I28" i="19" s="1"/>
  <c r="J28" i="19" s="1"/>
  <c r="K28" i="19" s="1"/>
  <c r="E21" i="19"/>
  <c r="F21" i="19" s="1"/>
  <c r="G21" i="19" s="1"/>
  <c r="H21" i="19" s="1"/>
  <c r="I21" i="19" s="1"/>
  <c r="J21" i="19" s="1"/>
  <c r="K21" i="19" s="1"/>
  <c r="E210" i="17" l="1"/>
  <c r="F210" i="17" s="1"/>
  <c r="G210" i="17" s="1"/>
  <c r="H210" i="17" s="1"/>
  <c r="I210" i="17" s="1"/>
  <c r="J210" i="17" s="1"/>
  <c r="K210" i="17" s="1"/>
  <c r="E189" i="17"/>
  <c r="F189" i="17" s="1"/>
  <c r="G189" i="17" s="1"/>
  <c r="H189" i="17" s="1"/>
  <c r="I189" i="17" s="1"/>
  <c r="J189" i="17" s="1"/>
  <c r="K189" i="17" s="1"/>
  <c r="E182" i="17"/>
  <c r="F182" i="17" s="1"/>
  <c r="G182" i="17" s="1"/>
  <c r="H182" i="17" s="1"/>
  <c r="I182" i="17" s="1"/>
  <c r="J182" i="17" s="1"/>
  <c r="K182" i="17" s="1"/>
  <c r="E175" i="17"/>
  <c r="F175" i="17" s="1"/>
  <c r="G175" i="17" s="1"/>
  <c r="H175" i="17" s="1"/>
  <c r="I175" i="17" s="1"/>
  <c r="J175" i="17" s="1"/>
  <c r="K175" i="17" s="1"/>
  <c r="E168" i="17"/>
  <c r="F168" i="17" s="1"/>
  <c r="G168" i="17" s="1"/>
  <c r="H168" i="17" s="1"/>
  <c r="I168" i="17" s="1"/>
  <c r="J168" i="17" s="1"/>
  <c r="K168" i="17" s="1"/>
  <c r="E147" i="17"/>
  <c r="F147" i="17" s="1"/>
  <c r="G147" i="17" s="1"/>
  <c r="H147" i="17" s="1"/>
  <c r="I147" i="17" s="1"/>
  <c r="J147" i="17" s="1"/>
  <c r="K147" i="17" s="1"/>
  <c r="E140" i="17"/>
  <c r="F140" i="17" s="1"/>
  <c r="G140" i="17" s="1"/>
  <c r="H140" i="17" s="1"/>
  <c r="I140" i="17" s="1"/>
  <c r="J140" i="17" s="1"/>
  <c r="K140" i="17" s="1"/>
  <c r="E133" i="17"/>
  <c r="F133" i="17" s="1"/>
  <c r="G133" i="17" s="1"/>
  <c r="H133" i="17" s="1"/>
  <c r="I133" i="17" s="1"/>
  <c r="J133" i="17" s="1"/>
  <c r="K133" i="17" s="1"/>
  <c r="E126" i="17"/>
  <c r="F126" i="17" s="1"/>
  <c r="G126" i="17" s="1"/>
  <c r="H126" i="17" s="1"/>
  <c r="I126" i="17" s="1"/>
  <c r="J126" i="17" s="1"/>
  <c r="K126" i="17" s="1"/>
  <c r="E98" i="17"/>
  <c r="F98" i="17" s="1"/>
  <c r="G98" i="17" s="1"/>
  <c r="H98" i="17" s="1"/>
  <c r="I98" i="17" s="1"/>
  <c r="J98" i="17" s="1"/>
  <c r="K98" i="17" s="1"/>
  <c r="E77" i="17"/>
  <c r="F77" i="17" s="1"/>
  <c r="G77" i="17" s="1"/>
  <c r="H77" i="17" s="1"/>
  <c r="I77" i="17" s="1"/>
  <c r="J77" i="17" s="1"/>
  <c r="K77" i="17" s="1"/>
  <c r="E70" i="17"/>
  <c r="F70" i="17" s="1"/>
  <c r="G70" i="17" s="1"/>
  <c r="H70" i="17" s="1"/>
  <c r="I70" i="17" s="1"/>
  <c r="J70" i="17" s="1"/>
  <c r="K70" i="17" s="1"/>
  <c r="E63" i="17"/>
  <c r="F63" i="17" s="1"/>
  <c r="G63" i="17" s="1"/>
  <c r="H63" i="17" s="1"/>
  <c r="I63" i="17" s="1"/>
  <c r="J63" i="17" s="1"/>
  <c r="K63" i="17" s="1"/>
  <c r="E56" i="17"/>
  <c r="F56" i="17" s="1"/>
  <c r="G56" i="17" s="1"/>
  <c r="H56" i="17" s="1"/>
  <c r="I56" i="17" s="1"/>
  <c r="J56" i="17" s="1"/>
  <c r="K56" i="17" s="1"/>
  <c r="E49" i="17"/>
  <c r="F49" i="17" s="1"/>
  <c r="G49" i="17" s="1"/>
  <c r="H49" i="17" s="1"/>
  <c r="I49" i="17" s="1"/>
  <c r="J49" i="17" s="1"/>
  <c r="K49" i="17" s="1"/>
  <c r="E42" i="17"/>
  <c r="F42" i="17" s="1"/>
  <c r="G42" i="17" s="1"/>
  <c r="H42" i="17" s="1"/>
  <c r="I42" i="17" s="1"/>
  <c r="J42" i="17" s="1"/>
  <c r="K42" i="17" s="1"/>
  <c r="E35" i="17"/>
  <c r="F35" i="17" s="1"/>
  <c r="G35" i="17" s="1"/>
  <c r="H35" i="17" s="1"/>
  <c r="I35" i="17" s="1"/>
  <c r="J35" i="17" s="1"/>
  <c r="K35" i="17" s="1"/>
  <c r="E28" i="17"/>
  <c r="F28" i="17" s="1"/>
  <c r="G28" i="17" s="1"/>
  <c r="H28" i="17" s="1"/>
  <c r="I28" i="17" s="1"/>
  <c r="J28" i="17" s="1"/>
  <c r="K28" i="17" s="1"/>
  <c r="E21" i="17"/>
  <c r="F21" i="17" s="1"/>
  <c r="G21" i="17" s="1"/>
  <c r="H21" i="17" s="1"/>
  <c r="I21" i="17" s="1"/>
  <c r="J21" i="17" s="1"/>
  <c r="K21" i="17" s="1"/>
  <c r="E14" i="17"/>
  <c r="F14" i="17" s="1"/>
  <c r="G14" i="17" s="1"/>
  <c r="H14" i="17" s="1"/>
  <c r="I14" i="17" s="1"/>
  <c r="J14" i="17" s="1"/>
  <c r="K14" i="17" s="1"/>
  <c r="R31" i="13" l="1"/>
  <c r="Q31" i="13"/>
  <c r="P31" i="13"/>
  <c r="O31" i="13"/>
  <c r="N31" i="13"/>
  <c r="T31" i="13"/>
  <c r="M31" i="13"/>
  <c r="J31" i="13"/>
  <c r="T67" i="13"/>
  <c r="R67" i="13"/>
  <c r="Q67" i="13"/>
  <c r="P67" i="13"/>
  <c r="O67" i="13"/>
  <c r="N67" i="13"/>
  <c r="J67" i="13"/>
  <c r="T7" i="13"/>
  <c r="R7" i="13"/>
  <c r="Q7" i="13"/>
  <c r="P7" i="13"/>
  <c r="O7" i="13"/>
  <c r="N7" i="13"/>
  <c r="M7" i="13"/>
  <c r="J7" i="13"/>
  <c r="T32" i="13"/>
  <c r="R32" i="13"/>
  <c r="Q32" i="13"/>
  <c r="P32" i="13"/>
  <c r="O32" i="13"/>
  <c r="M32" i="13"/>
  <c r="J32" i="13"/>
  <c r="T16" i="13"/>
  <c r="R16" i="13"/>
  <c r="Q16" i="13"/>
  <c r="P16" i="13"/>
  <c r="N16" i="13"/>
  <c r="M16" i="13"/>
  <c r="J16" i="13"/>
  <c r="R49" i="13"/>
  <c r="Q49" i="13"/>
  <c r="P49" i="13"/>
  <c r="O49" i="13"/>
  <c r="N49" i="13"/>
  <c r="M49" i="13"/>
  <c r="J49" i="13"/>
  <c r="T49" i="13"/>
  <c r="M44" i="13"/>
  <c r="R44" i="13"/>
  <c r="Q44" i="13"/>
  <c r="P44" i="13"/>
  <c r="O44" i="13"/>
  <c r="N44" i="13"/>
  <c r="J44" i="13"/>
  <c r="T44" i="13"/>
  <c r="M58" i="13"/>
  <c r="R58" i="13"/>
  <c r="Q58" i="13"/>
  <c r="P58" i="13"/>
  <c r="O58" i="13"/>
  <c r="N58" i="13"/>
  <c r="J58" i="13"/>
  <c r="T58" i="13"/>
  <c r="T66" i="13"/>
  <c r="R66" i="13"/>
  <c r="Q66" i="13"/>
  <c r="P66" i="13"/>
  <c r="O66" i="13"/>
  <c r="N66" i="13"/>
  <c r="J66" i="13"/>
  <c r="R75" i="13"/>
  <c r="Q75" i="13"/>
  <c r="P75" i="13"/>
  <c r="O75" i="13"/>
  <c r="N75" i="13"/>
  <c r="J75" i="13"/>
  <c r="R80" i="13"/>
  <c r="Q80" i="13"/>
  <c r="P80" i="13"/>
  <c r="O80" i="13"/>
  <c r="N80" i="13"/>
  <c r="G80" i="13"/>
  <c r="R74" i="13"/>
  <c r="Q74" i="13"/>
  <c r="P74" i="13"/>
  <c r="O74" i="13"/>
  <c r="N74" i="13"/>
  <c r="J74" i="13"/>
  <c r="R69" i="13"/>
  <c r="Q69" i="13"/>
  <c r="P69" i="13"/>
  <c r="O69" i="13"/>
  <c r="N69" i="13"/>
  <c r="J69" i="13"/>
  <c r="R57" i="13"/>
  <c r="Q57" i="13"/>
  <c r="P57" i="13"/>
  <c r="N57" i="13"/>
  <c r="O57" i="13"/>
  <c r="J57" i="13"/>
  <c r="R56" i="13"/>
  <c r="Q56" i="13"/>
  <c r="P56" i="13"/>
  <c r="O56" i="13"/>
  <c r="N56" i="13"/>
  <c r="J56" i="13"/>
  <c r="T55" i="13"/>
  <c r="R55" i="13"/>
  <c r="Q55" i="13"/>
  <c r="P55" i="13"/>
  <c r="O55" i="13"/>
  <c r="N55" i="13"/>
  <c r="J55" i="13"/>
  <c r="R54" i="13"/>
  <c r="Q54" i="13"/>
  <c r="P54" i="13"/>
  <c r="N54" i="13"/>
  <c r="O54" i="13"/>
  <c r="J54" i="13"/>
  <c r="R53" i="13"/>
  <c r="Q53" i="13"/>
  <c r="P53" i="13"/>
  <c r="O53" i="13"/>
  <c r="N53" i="13"/>
  <c r="J53" i="13"/>
  <c r="R52" i="13"/>
  <c r="Q52" i="13"/>
  <c r="P52" i="13"/>
  <c r="O52" i="13"/>
  <c r="N52" i="13"/>
  <c r="J52" i="13"/>
  <c r="R51" i="13"/>
  <c r="P51" i="13"/>
  <c r="O51" i="13"/>
  <c r="N51" i="13"/>
  <c r="Q51" i="13"/>
  <c r="J51" i="13"/>
  <c r="R50" i="13"/>
  <c r="Q50" i="13"/>
  <c r="P50" i="13"/>
  <c r="O50" i="13"/>
  <c r="N50" i="13"/>
  <c r="J50" i="13"/>
  <c r="R48" i="13"/>
  <c r="Q48" i="13"/>
  <c r="P48" i="13"/>
  <c r="O48" i="13"/>
  <c r="N48" i="13"/>
  <c r="J48" i="13"/>
  <c r="R46" i="13"/>
  <c r="Q46" i="13"/>
  <c r="P46" i="13"/>
  <c r="O46" i="13"/>
  <c r="N46" i="13"/>
  <c r="J46" i="13"/>
  <c r="R43" i="13"/>
  <c r="Q43" i="13"/>
  <c r="P43" i="13"/>
  <c r="O43" i="13"/>
  <c r="N43" i="13"/>
  <c r="J43" i="13"/>
  <c r="R42" i="13"/>
  <c r="Q42" i="13"/>
  <c r="P42" i="13"/>
  <c r="O42" i="13"/>
  <c r="N42" i="13"/>
  <c r="J42" i="13"/>
  <c r="R41" i="13"/>
  <c r="Q41" i="13"/>
  <c r="P41" i="13"/>
  <c r="O41" i="13"/>
  <c r="N41" i="13"/>
  <c r="J41" i="13"/>
  <c r="R40" i="13"/>
  <c r="P40" i="13"/>
  <c r="O40" i="13"/>
  <c r="Q40" i="13"/>
  <c r="N40" i="13"/>
  <c r="J40" i="13"/>
  <c r="R39" i="13"/>
  <c r="Q39" i="13"/>
  <c r="P39" i="13"/>
  <c r="O39" i="13"/>
  <c r="N39" i="13"/>
  <c r="R38" i="13"/>
  <c r="N38" i="13"/>
  <c r="Q38" i="13"/>
  <c r="P38" i="13"/>
  <c r="O38" i="13"/>
  <c r="R37" i="13"/>
  <c r="Q37" i="13"/>
  <c r="P37" i="13"/>
  <c r="O37" i="13"/>
  <c r="N37" i="13"/>
  <c r="R36" i="13"/>
  <c r="Q36" i="13"/>
  <c r="P36" i="13"/>
  <c r="O36" i="13"/>
  <c r="N36" i="13"/>
  <c r="J36" i="13"/>
  <c r="R35" i="13"/>
  <c r="Q35" i="13"/>
  <c r="P35" i="13"/>
  <c r="O35" i="13"/>
  <c r="N35" i="13"/>
  <c r="J35" i="13"/>
  <c r="R34" i="13"/>
  <c r="Q34" i="13"/>
  <c r="P34" i="13"/>
  <c r="O34" i="13"/>
  <c r="N34" i="13"/>
  <c r="J34" i="13"/>
  <c r="R33" i="13"/>
  <c r="Q33" i="13"/>
  <c r="P33" i="13"/>
  <c r="O33" i="13"/>
  <c r="N33" i="13"/>
  <c r="J33" i="13"/>
  <c r="R30" i="13"/>
  <c r="Q30" i="13"/>
  <c r="P30" i="13"/>
  <c r="O30" i="13"/>
  <c r="N30" i="13"/>
  <c r="J30" i="13"/>
  <c r="G30" i="13"/>
  <c r="R29" i="13"/>
  <c r="Q29" i="13"/>
  <c r="P29" i="13"/>
  <c r="O29" i="13"/>
  <c r="N29" i="13"/>
  <c r="J29" i="13"/>
  <c r="R28" i="13"/>
  <c r="Q28" i="13"/>
  <c r="P28" i="13"/>
  <c r="O28" i="13"/>
  <c r="N28" i="13"/>
  <c r="J28" i="13"/>
  <c r="R26" i="13"/>
  <c r="Q26" i="13"/>
  <c r="P26" i="13"/>
  <c r="O26" i="13"/>
  <c r="N26" i="13"/>
  <c r="J26" i="13"/>
  <c r="G26" i="13"/>
  <c r="R25" i="13"/>
  <c r="Q25" i="13"/>
  <c r="P25" i="13"/>
  <c r="O25" i="13"/>
  <c r="N25" i="13"/>
  <c r="J25" i="13"/>
  <c r="G25" i="13"/>
  <c r="R24" i="13"/>
  <c r="Q24" i="13"/>
  <c r="P24" i="13"/>
  <c r="O24" i="13"/>
  <c r="N24" i="13"/>
  <c r="J24" i="13"/>
  <c r="R23" i="13"/>
  <c r="Q23" i="13"/>
  <c r="P23" i="13"/>
  <c r="O23" i="13"/>
  <c r="N23" i="13"/>
  <c r="J23" i="13"/>
  <c r="R79" i="13"/>
  <c r="Q79" i="13"/>
  <c r="P79" i="13"/>
  <c r="O79" i="13"/>
  <c r="N79" i="13"/>
  <c r="J79" i="13"/>
  <c r="R77" i="13"/>
  <c r="Q77" i="13"/>
  <c r="P77" i="13"/>
  <c r="O77" i="13"/>
  <c r="N77" i="13"/>
  <c r="J77" i="13"/>
  <c r="R21" i="13"/>
  <c r="Q21" i="13"/>
  <c r="P21" i="13"/>
  <c r="O21" i="13"/>
  <c r="N21" i="13"/>
  <c r="J21" i="13"/>
  <c r="R20" i="13"/>
  <c r="Q20" i="13"/>
  <c r="P20" i="13"/>
  <c r="O20" i="13"/>
  <c r="N20" i="13"/>
  <c r="J20" i="13"/>
  <c r="J19" i="13"/>
  <c r="G19" i="13"/>
  <c r="G20" i="13"/>
  <c r="R19" i="13"/>
  <c r="Q19" i="13"/>
  <c r="P19" i="13"/>
  <c r="O19" i="13"/>
  <c r="N19" i="13"/>
  <c r="R17" i="13"/>
  <c r="Q17" i="13"/>
  <c r="P17" i="13"/>
  <c r="O17" i="13"/>
  <c r="N17" i="13"/>
  <c r="J17" i="13"/>
  <c r="R15" i="13"/>
  <c r="Q15" i="13"/>
  <c r="P15" i="13"/>
  <c r="O15" i="13"/>
  <c r="N15" i="13"/>
  <c r="R14" i="13" l="1"/>
  <c r="Q14" i="13"/>
  <c r="P14" i="13"/>
  <c r="O14" i="13"/>
  <c r="N14" i="13"/>
  <c r="J14" i="13"/>
  <c r="R13" i="13"/>
  <c r="Q13" i="13"/>
  <c r="P13" i="13"/>
  <c r="N13" i="13"/>
  <c r="O13" i="13"/>
  <c r="E13" i="13"/>
  <c r="J13" i="13" s="1"/>
  <c r="J12" i="13"/>
  <c r="G13" i="13"/>
  <c r="N12" i="13" l="1"/>
  <c r="T12" i="13"/>
  <c r="T11" i="13"/>
  <c r="R11" i="13"/>
  <c r="Q11" i="13"/>
  <c r="P11" i="13"/>
  <c r="O11" i="13"/>
  <c r="N11" i="13"/>
  <c r="O9" i="13"/>
  <c r="P9" i="13"/>
  <c r="J11" i="13"/>
  <c r="R9" i="13"/>
  <c r="Q9" i="13"/>
  <c r="J6" i="13"/>
  <c r="R6" i="13"/>
  <c r="Q6" i="13"/>
  <c r="P6" i="13"/>
  <c r="O6" i="13"/>
  <c r="N6" i="13"/>
  <c r="G6" i="13"/>
  <c r="E6" i="13"/>
  <c r="R5" i="13"/>
  <c r="Q5" i="13"/>
  <c r="P5" i="13"/>
  <c r="O5" i="13"/>
  <c r="N5" i="13"/>
  <c r="J5" i="13"/>
  <c r="R4" i="13"/>
  <c r="Q4" i="13"/>
  <c r="P4" i="13"/>
  <c r="O4" i="13"/>
  <c r="N4" i="13"/>
  <c r="J4" i="13"/>
  <c r="T27" i="13"/>
  <c r="N27" i="13"/>
  <c r="J27" i="13"/>
  <c r="O3" i="13"/>
  <c r="N3" i="13"/>
  <c r="J3" i="13" l="1"/>
  <c r="R3" i="13" l="1"/>
  <c r="Q3" i="13"/>
  <c r="P3" i="13"/>
  <c r="F3" i="13" l="1"/>
  <c r="G3" i="13"/>
  <c r="M3" i="13"/>
  <c r="T3" i="13"/>
  <c r="M27" i="13"/>
  <c r="M4" i="13"/>
  <c r="T4" i="13"/>
  <c r="M5" i="13"/>
  <c r="T5" i="13"/>
  <c r="M6" i="13"/>
  <c r="T6" i="13"/>
  <c r="M9" i="13"/>
  <c r="T9" i="13"/>
  <c r="M10" i="13"/>
  <c r="N10" i="13"/>
  <c r="T10" i="13"/>
  <c r="M11" i="13"/>
  <c r="M12" i="13"/>
  <c r="M13" i="13"/>
  <c r="T13" i="13"/>
  <c r="M14" i="13"/>
  <c r="T14" i="13"/>
  <c r="E15" i="13"/>
  <c r="J15" i="13" s="1"/>
  <c r="M15" i="13" s="1"/>
  <c r="G15" i="13"/>
  <c r="M17" i="13"/>
  <c r="T17" i="13"/>
  <c r="M19" i="13"/>
  <c r="T19" i="13"/>
  <c r="T20" i="13"/>
  <c r="M21" i="13"/>
  <c r="T21" i="13"/>
  <c r="M23" i="13"/>
  <c r="T23" i="13"/>
  <c r="M24" i="13"/>
  <c r="T24" i="13"/>
  <c r="M25" i="13"/>
  <c r="T25" i="13"/>
  <c r="M26" i="13"/>
  <c r="T26" i="13"/>
  <c r="M28" i="13"/>
  <c r="T28" i="13"/>
  <c r="M29" i="13"/>
  <c r="T29" i="13"/>
  <c r="M30" i="13"/>
  <c r="T30" i="13"/>
  <c r="M33" i="13"/>
  <c r="T33" i="13"/>
  <c r="G34" i="13"/>
  <c r="T34" i="13" s="1"/>
  <c r="M34" i="13"/>
  <c r="M35" i="13"/>
  <c r="T35" i="13"/>
  <c r="M36" i="13"/>
  <c r="T36" i="13"/>
  <c r="E37" i="13"/>
  <c r="J37" i="13" s="1"/>
  <c r="G37" i="13"/>
  <c r="M37" i="13"/>
  <c r="E38" i="13"/>
  <c r="J38" i="13" s="1"/>
  <c r="G38" i="13"/>
  <c r="M38" i="13"/>
  <c r="E39" i="13"/>
  <c r="J39" i="13" s="1"/>
  <c r="G39" i="13"/>
  <c r="M39" i="13"/>
  <c r="M40" i="13"/>
  <c r="T40" i="13"/>
  <c r="M41" i="13"/>
  <c r="T41" i="13"/>
  <c r="M42" i="13"/>
  <c r="T42" i="13"/>
  <c r="M43" i="13"/>
  <c r="T43" i="13"/>
  <c r="A45" i="13"/>
  <c r="M45" i="13"/>
  <c r="T45" i="13"/>
  <c r="M46" i="13"/>
  <c r="T46" i="13"/>
  <c r="M47" i="13"/>
  <c r="T47" i="13"/>
  <c r="M48" i="13"/>
  <c r="T48" i="13"/>
  <c r="M50" i="13"/>
  <c r="T50" i="13"/>
  <c r="M51" i="13"/>
  <c r="T51" i="13"/>
  <c r="M52" i="13"/>
  <c r="T52" i="13"/>
  <c r="M53" i="13"/>
  <c r="T53" i="13"/>
  <c r="M54" i="13"/>
  <c r="T54" i="13"/>
  <c r="M55" i="13"/>
  <c r="M56" i="13"/>
  <c r="T56" i="13"/>
  <c r="M57" i="13"/>
  <c r="T57" i="13"/>
  <c r="A59" i="13"/>
  <c r="T59" i="13"/>
  <c r="A61" i="13"/>
  <c r="A62" i="13"/>
  <c r="A64" i="13"/>
  <c r="J65" i="13"/>
  <c r="M65" i="13"/>
  <c r="N65" i="13"/>
  <c r="O65" i="13"/>
  <c r="P65" i="13"/>
  <c r="Q65" i="13"/>
  <c r="R65" i="13"/>
  <c r="T65" i="13"/>
  <c r="H68" i="13"/>
  <c r="N68" i="13" s="1"/>
  <c r="O68" i="13"/>
  <c r="P68" i="13"/>
  <c r="Q68" i="13"/>
  <c r="R68" i="13"/>
  <c r="T69" i="13"/>
  <c r="H70" i="13"/>
  <c r="T70" i="13" s="1"/>
  <c r="M70" i="13"/>
  <c r="O70" i="13"/>
  <c r="P70" i="13"/>
  <c r="Q70" i="13"/>
  <c r="R70" i="13"/>
  <c r="M71" i="13"/>
  <c r="N71" i="13"/>
  <c r="T71" i="13"/>
  <c r="M72" i="13"/>
  <c r="T72" i="13"/>
  <c r="M73" i="13"/>
  <c r="N73" i="13"/>
  <c r="O73" i="13"/>
  <c r="Q73" i="13"/>
  <c r="R73" i="13"/>
  <c r="T73" i="13"/>
  <c r="T74" i="13"/>
  <c r="M75" i="13"/>
  <c r="T75" i="13"/>
  <c r="J76" i="13"/>
  <c r="M76" i="13"/>
  <c r="N76" i="13"/>
  <c r="O76" i="13"/>
  <c r="P76" i="13"/>
  <c r="Q76" i="13"/>
  <c r="R76" i="13"/>
  <c r="T76" i="13"/>
  <c r="M77" i="13"/>
  <c r="T77" i="13"/>
  <c r="M78" i="13"/>
  <c r="T78" i="13"/>
  <c r="G79" i="13"/>
  <c r="T79" i="13" s="1"/>
  <c r="M79" i="13"/>
  <c r="M80" i="13"/>
  <c r="T80" i="13"/>
  <c r="N91" i="13"/>
  <c r="O91" i="13"/>
  <c r="P91" i="13"/>
  <c r="Q91" i="13"/>
  <c r="R91" i="13"/>
  <c r="S91" i="13"/>
  <c r="T91" i="13"/>
  <c r="F11" i="23" l="1"/>
  <c r="F7" i="23"/>
  <c r="F6" i="23"/>
  <c r="F9" i="23"/>
  <c r="E215" i="28"/>
  <c r="F215" i="28" s="1"/>
  <c r="G215" i="28" s="1"/>
  <c r="H215" i="28" s="1"/>
  <c r="I215" i="28" s="1"/>
  <c r="J215" i="28" s="1"/>
  <c r="K215" i="28" s="1"/>
  <c r="E211" i="28"/>
  <c r="F211" i="28" s="1"/>
  <c r="G211" i="28" s="1"/>
  <c r="H211" i="28" s="1"/>
  <c r="I211" i="28" s="1"/>
  <c r="J211" i="28" s="1"/>
  <c r="K211" i="28" s="1"/>
  <c r="E207" i="28"/>
  <c r="F207" i="28" s="1"/>
  <c r="G207" i="28" s="1"/>
  <c r="H207" i="28" s="1"/>
  <c r="I207" i="28" s="1"/>
  <c r="J207" i="28" s="1"/>
  <c r="K207" i="28" s="1"/>
  <c r="E203" i="28"/>
  <c r="F203" i="28" s="1"/>
  <c r="G203" i="28" s="1"/>
  <c r="H203" i="28" s="1"/>
  <c r="I203" i="28" s="1"/>
  <c r="J203" i="28" s="1"/>
  <c r="K203" i="28" s="1"/>
  <c r="E195" i="28"/>
  <c r="F195" i="28" s="1"/>
  <c r="G195" i="28" s="1"/>
  <c r="H195" i="28" s="1"/>
  <c r="I195" i="28" s="1"/>
  <c r="J195" i="28" s="1"/>
  <c r="K195" i="28" s="1"/>
  <c r="E191" i="28"/>
  <c r="F191" i="28" s="1"/>
  <c r="G191" i="28" s="1"/>
  <c r="H191" i="28" s="1"/>
  <c r="I191" i="28" s="1"/>
  <c r="J191" i="28" s="1"/>
  <c r="K191" i="28" s="1"/>
  <c r="E187" i="28"/>
  <c r="F187" i="28" s="1"/>
  <c r="G187" i="28" s="1"/>
  <c r="H187" i="28" s="1"/>
  <c r="I187" i="28" s="1"/>
  <c r="J187" i="28" s="1"/>
  <c r="K187" i="28" s="1"/>
  <c r="E183" i="28"/>
  <c r="F183" i="28" s="1"/>
  <c r="G183" i="28" s="1"/>
  <c r="H183" i="28" s="1"/>
  <c r="I183" i="28" s="1"/>
  <c r="J183" i="28" s="1"/>
  <c r="K183" i="28" s="1"/>
  <c r="E179" i="28"/>
  <c r="F179" i="28" s="1"/>
  <c r="G179" i="28" s="1"/>
  <c r="H179" i="28" s="1"/>
  <c r="I179" i="28" s="1"/>
  <c r="J179" i="28" s="1"/>
  <c r="K179" i="28" s="1"/>
  <c r="E175" i="28"/>
  <c r="F175" i="28" s="1"/>
  <c r="G175" i="28" s="1"/>
  <c r="H175" i="28" s="1"/>
  <c r="I175" i="28" s="1"/>
  <c r="J175" i="28" s="1"/>
  <c r="K175" i="28" s="1"/>
  <c r="E216" i="28"/>
  <c r="F216" i="28" s="1"/>
  <c r="G216" i="28" s="1"/>
  <c r="H216" i="28" s="1"/>
  <c r="I216" i="28" s="1"/>
  <c r="J216" i="28" s="1"/>
  <c r="K216" i="28" s="1"/>
  <c r="E212" i="28"/>
  <c r="F212" i="28" s="1"/>
  <c r="G212" i="28" s="1"/>
  <c r="H212" i="28" s="1"/>
  <c r="I212" i="28" s="1"/>
  <c r="J212" i="28" s="1"/>
  <c r="K212" i="28" s="1"/>
  <c r="E208" i="28"/>
  <c r="F208" i="28" s="1"/>
  <c r="G208" i="28" s="1"/>
  <c r="H208" i="28" s="1"/>
  <c r="I208" i="28" s="1"/>
  <c r="J208" i="28" s="1"/>
  <c r="K208" i="28" s="1"/>
  <c r="E204" i="28"/>
  <c r="F204" i="28" s="1"/>
  <c r="G204" i="28" s="1"/>
  <c r="H204" i="28" s="1"/>
  <c r="I204" i="28" s="1"/>
  <c r="J204" i="28" s="1"/>
  <c r="K204" i="28" s="1"/>
  <c r="E200" i="28"/>
  <c r="F200" i="28" s="1"/>
  <c r="G200" i="28" s="1"/>
  <c r="H200" i="28" s="1"/>
  <c r="I200" i="28" s="1"/>
  <c r="J200" i="28" s="1"/>
  <c r="K200" i="28" s="1"/>
  <c r="E196" i="28"/>
  <c r="F196" i="28" s="1"/>
  <c r="G196" i="28" s="1"/>
  <c r="H196" i="28" s="1"/>
  <c r="I196" i="28" s="1"/>
  <c r="J196" i="28" s="1"/>
  <c r="K196" i="28" s="1"/>
  <c r="E188" i="28"/>
  <c r="F188" i="28" s="1"/>
  <c r="G188" i="28" s="1"/>
  <c r="H188" i="28" s="1"/>
  <c r="I188" i="28" s="1"/>
  <c r="J188" i="28" s="1"/>
  <c r="K188" i="28" s="1"/>
  <c r="E184" i="28"/>
  <c r="F184" i="28" s="1"/>
  <c r="G184" i="28" s="1"/>
  <c r="H184" i="28" s="1"/>
  <c r="I184" i="28" s="1"/>
  <c r="J184" i="28" s="1"/>
  <c r="K184" i="28" s="1"/>
  <c r="E180" i="28"/>
  <c r="F180" i="28" s="1"/>
  <c r="G180" i="28" s="1"/>
  <c r="H180" i="28" s="1"/>
  <c r="I180" i="28" s="1"/>
  <c r="J180" i="28" s="1"/>
  <c r="K180" i="28" s="1"/>
  <c r="E217" i="28"/>
  <c r="F217" i="28" s="1"/>
  <c r="G217" i="28" s="1"/>
  <c r="H217" i="28" s="1"/>
  <c r="I217" i="28" s="1"/>
  <c r="J217" i="28" s="1"/>
  <c r="K217" i="28" s="1"/>
  <c r="E209" i="28"/>
  <c r="F209" i="28" s="1"/>
  <c r="G209" i="28" s="1"/>
  <c r="H209" i="28" s="1"/>
  <c r="I209" i="28" s="1"/>
  <c r="J209" i="28" s="1"/>
  <c r="K209" i="28" s="1"/>
  <c r="E202" i="28"/>
  <c r="F202" i="28" s="1"/>
  <c r="G202" i="28" s="1"/>
  <c r="H202" i="28" s="1"/>
  <c r="I202" i="28" s="1"/>
  <c r="J202" i="28" s="1"/>
  <c r="K202" i="28" s="1"/>
  <c r="E193" i="28"/>
  <c r="F193" i="28" s="1"/>
  <c r="G193" i="28" s="1"/>
  <c r="H193" i="28" s="1"/>
  <c r="I193" i="28" s="1"/>
  <c r="J193" i="28" s="1"/>
  <c r="K193" i="28" s="1"/>
  <c r="E190" i="28"/>
  <c r="F190" i="28" s="1"/>
  <c r="G190" i="28" s="1"/>
  <c r="H190" i="28" s="1"/>
  <c r="I190" i="28" s="1"/>
  <c r="J190" i="28" s="1"/>
  <c r="K190" i="28" s="1"/>
  <c r="E182" i="28"/>
  <c r="F182" i="28" s="1"/>
  <c r="G182" i="28" s="1"/>
  <c r="H182" i="28" s="1"/>
  <c r="I182" i="28" s="1"/>
  <c r="J182" i="28" s="1"/>
  <c r="K182" i="28" s="1"/>
  <c r="E172" i="28"/>
  <c r="F172" i="28" s="1"/>
  <c r="G172" i="28" s="1"/>
  <c r="H172" i="28" s="1"/>
  <c r="I172" i="28" s="1"/>
  <c r="J172" i="28" s="1"/>
  <c r="K172" i="28" s="1"/>
  <c r="E170" i="28"/>
  <c r="F170" i="28" s="1"/>
  <c r="G170" i="28" s="1"/>
  <c r="H170" i="28" s="1"/>
  <c r="I170" i="28" s="1"/>
  <c r="J170" i="28" s="1"/>
  <c r="K170" i="28" s="1"/>
  <c r="E165" i="28"/>
  <c r="F165" i="28" s="1"/>
  <c r="G165" i="28" s="1"/>
  <c r="H165" i="28" s="1"/>
  <c r="I165" i="28" s="1"/>
  <c r="J165" i="28" s="1"/>
  <c r="K165" i="28" s="1"/>
  <c r="E161" i="28"/>
  <c r="F161" i="28" s="1"/>
  <c r="G161" i="28" s="1"/>
  <c r="H161" i="28" s="1"/>
  <c r="I161" i="28" s="1"/>
  <c r="J161" i="28" s="1"/>
  <c r="K161" i="28" s="1"/>
  <c r="E152" i="28"/>
  <c r="F152" i="28" s="1"/>
  <c r="G152" i="28" s="1"/>
  <c r="H152" i="28" s="1"/>
  <c r="I152" i="28" s="1"/>
  <c r="J152" i="28" s="1"/>
  <c r="K152" i="28" s="1"/>
  <c r="E148" i="28"/>
  <c r="F148" i="28" s="1"/>
  <c r="G148" i="28" s="1"/>
  <c r="H148" i="28" s="1"/>
  <c r="I148" i="28" s="1"/>
  <c r="J148" i="28" s="1"/>
  <c r="K148" i="28" s="1"/>
  <c r="E205" i="28"/>
  <c r="F205" i="28" s="1"/>
  <c r="G205" i="28" s="1"/>
  <c r="H205" i="28" s="1"/>
  <c r="I205" i="28" s="1"/>
  <c r="J205" i="28" s="1"/>
  <c r="K205" i="28" s="1"/>
  <c r="E194" i="28"/>
  <c r="F194" i="28" s="1"/>
  <c r="G194" i="28" s="1"/>
  <c r="H194" i="28" s="1"/>
  <c r="I194" i="28" s="1"/>
  <c r="J194" i="28" s="1"/>
  <c r="K194" i="28" s="1"/>
  <c r="E169" i="28"/>
  <c r="F169" i="28" s="1"/>
  <c r="G169" i="28" s="1"/>
  <c r="H169" i="28" s="1"/>
  <c r="I169" i="28" s="1"/>
  <c r="J169" i="28" s="1"/>
  <c r="K169" i="28" s="1"/>
  <c r="E166" i="28"/>
  <c r="F166" i="28" s="1"/>
  <c r="G166" i="28" s="1"/>
  <c r="H166" i="28" s="1"/>
  <c r="I166" i="28" s="1"/>
  <c r="J166" i="28" s="1"/>
  <c r="K166" i="28" s="1"/>
  <c r="E162" i="28"/>
  <c r="F162" i="28" s="1"/>
  <c r="G162" i="28" s="1"/>
  <c r="H162" i="28" s="1"/>
  <c r="I162" i="28" s="1"/>
  <c r="J162" i="28" s="1"/>
  <c r="K162" i="28" s="1"/>
  <c r="E158" i="28"/>
  <c r="F158" i="28" s="1"/>
  <c r="G158" i="28" s="1"/>
  <c r="H158" i="28" s="1"/>
  <c r="I158" i="28" s="1"/>
  <c r="J158" i="28" s="1"/>
  <c r="K158" i="28" s="1"/>
  <c r="E153" i="28"/>
  <c r="F153" i="28" s="1"/>
  <c r="G153" i="28" s="1"/>
  <c r="H153" i="28" s="1"/>
  <c r="I153" i="28" s="1"/>
  <c r="J153" i="28" s="1"/>
  <c r="K153" i="28" s="1"/>
  <c r="E145" i="28"/>
  <c r="F145" i="28" s="1"/>
  <c r="G145" i="28" s="1"/>
  <c r="H145" i="28" s="1"/>
  <c r="I145" i="28" s="1"/>
  <c r="J145" i="28" s="1"/>
  <c r="K145" i="28" s="1"/>
  <c r="E214" i="28"/>
  <c r="F214" i="28" s="1"/>
  <c r="G214" i="28" s="1"/>
  <c r="H214" i="28" s="1"/>
  <c r="I214" i="28" s="1"/>
  <c r="J214" i="28" s="1"/>
  <c r="E210" i="28"/>
  <c r="F210" i="28" s="1"/>
  <c r="G210" i="28" s="1"/>
  <c r="H210" i="28" s="1"/>
  <c r="I210" i="28" s="1"/>
  <c r="J210" i="28" s="1"/>
  <c r="K210" i="28" s="1"/>
  <c r="E197" i="28"/>
  <c r="F197" i="28" s="1"/>
  <c r="G197" i="28" s="1"/>
  <c r="H197" i="28" s="1"/>
  <c r="I197" i="28" s="1"/>
  <c r="J197" i="28" s="1"/>
  <c r="K197" i="28" s="1"/>
  <c r="E186" i="28"/>
  <c r="F186" i="28" s="1"/>
  <c r="G186" i="28" s="1"/>
  <c r="H186" i="28" s="1"/>
  <c r="I186" i="28" s="1"/>
  <c r="J186" i="28" s="1"/>
  <c r="K186" i="28" s="1"/>
  <c r="E177" i="28"/>
  <c r="F177" i="28" s="1"/>
  <c r="G177" i="28" s="1"/>
  <c r="H177" i="28" s="1"/>
  <c r="I177" i="28" s="1"/>
  <c r="J177" i="28" s="1"/>
  <c r="K177" i="28" s="1"/>
  <c r="E174" i="28"/>
  <c r="F174" i="28" s="1"/>
  <c r="G174" i="28" s="1"/>
  <c r="H174" i="28" s="1"/>
  <c r="I174" i="28" s="1"/>
  <c r="J174" i="28" s="1"/>
  <c r="K174" i="28" s="1"/>
  <c r="E163" i="28"/>
  <c r="F163" i="28" s="1"/>
  <c r="G163" i="28" s="1"/>
  <c r="H163" i="28" s="1"/>
  <c r="I163" i="28" s="1"/>
  <c r="J163" i="28" s="1"/>
  <c r="K163" i="28" s="1"/>
  <c r="E159" i="28"/>
  <c r="F159" i="28" s="1"/>
  <c r="G159" i="28" s="1"/>
  <c r="H159" i="28" s="1"/>
  <c r="I159" i="28" s="1"/>
  <c r="J159" i="28" s="1"/>
  <c r="K159" i="28" s="1"/>
  <c r="E150" i="28"/>
  <c r="F150" i="28" s="1"/>
  <c r="G150" i="28" s="1"/>
  <c r="H150" i="28" s="1"/>
  <c r="I150" i="28" s="1"/>
  <c r="J150" i="28" s="1"/>
  <c r="K150" i="28" s="1"/>
  <c r="E146" i="28"/>
  <c r="F146" i="28" s="1"/>
  <c r="G146" i="28" s="1"/>
  <c r="H146" i="28" s="1"/>
  <c r="I146" i="28" s="1"/>
  <c r="J146" i="28" s="1"/>
  <c r="K146" i="28" s="1"/>
  <c r="E201" i="28"/>
  <c r="F201" i="28" s="1"/>
  <c r="G201" i="28" s="1"/>
  <c r="H201" i="28" s="1"/>
  <c r="I201" i="28" s="1"/>
  <c r="J201" i="28" s="1"/>
  <c r="K201" i="28" s="1"/>
  <c r="E198" i="28"/>
  <c r="F198" i="28" s="1"/>
  <c r="G198" i="28" s="1"/>
  <c r="H198" i="28" s="1"/>
  <c r="I198" i="28" s="1"/>
  <c r="J198" i="28" s="1"/>
  <c r="K198" i="28" s="1"/>
  <c r="E147" i="28"/>
  <c r="F147" i="28" s="1"/>
  <c r="G147" i="28" s="1"/>
  <c r="H147" i="28" s="1"/>
  <c r="I147" i="28" s="1"/>
  <c r="J147" i="28" s="1"/>
  <c r="K147" i="28" s="1"/>
  <c r="E141" i="28"/>
  <c r="F141" i="28" s="1"/>
  <c r="G141" i="28" s="1"/>
  <c r="H141" i="28" s="1"/>
  <c r="I141" i="28" s="1"/>
  <c r="J141" i="28" s="1"/>
  <c r="K141" i="28" s="1"/>
  <c r="E137" i="28"/>
  <c r="F137" i="28" s="1"/>
  <c r="G137" i="28" s="1"/>
  <c r="H137" i="28" s="1"/>
  <c r="I137" i="28" s="1"/>
  <c r="J137" i="28" s="1"/>
  <c r="K137" i="28" s="1"/>
  <c r="E133" i="28"/>
  <c r="F133" i="28" s="1"/>
  <c r="G133" i="28" s="1"/>
  <c r="H133" i="28" s="1"/>
  <c r="I133" i="28" s="1"/>
  <c r="J133" i="28" s="1"/>
  <c r="K133" i="28" s="1"/>
  <c r="E129" i="28"/>
  <c r="F129" i="28" s="1"/>
  <c r="G129" i="28" s="1"/>
  <c r="H129" i="28" s="1"/>
  <c r="I129" i="28" s="1"/>
  <c r="J129" i="28" s="1"/>
  <c r="K129" i="28" s="1"/>
  <c r="E125" i="28"/>
  <c r="F125" i="28" s="1"/>
  <c r="G125" i="28" s="1"/>
  <c r="H125" i="28" s="1"/>
  <c r="I125" i="28" s="1"/>
  <c r="J125" i="28" s="1"/>
  <c r="K125" i="28" s="1"/>
  <c r="E113" i="28"/>
  <c r="F113" i="28" s="1"/>
  <c r="G113" i="28" s="1"/>
  <c r="H113" i="28" s="1"/>
  <c r="I113" i="28" s="1"/>
  <c r="J113" i="28" s="1"/>
  <c r="K113" i="28" s="1"/>
  <c r="E108" i="28"/>
  <c r="F108" i="28" s="1"/>
  <c r="G108" i="28" s="1"/>
  <c r="H108" i="28" s="1"/>
  <c r="I108" i="28" s="1"/>
  <c r="J108" i="28" s="1"/>
  <c r="K108" i="28" s="1"/>
  <c r="E104" i="28"/>
  <c r="F104" i="28" s="1"/>
  <c r="G104" i="28" s="1"/>
  <c r="H104" i="28" s="1"/>
  <c r="I104" i="28" s="1"/>
  <c r="J104" i="28" s="1"/>
  <c r="K104" i="28" s="1"/>
  <c r="E100" i="28"/>
  <c r="F100" i="28" s="1"/>
  <c r="G100" i="28" s="1"/>
  <c r="H100" i="28" s="1"/>
  <c r="I100" i="28" s="1"/>
  <c r="J100" i="28" s="1"/>
  <c r="K100" i="28" s="1"/>
  <c r="E96" i="28"/>
  <c r="F96" i="28" s="1"/>
  <c r="G96" i="28" s="1"/>
  <c r="H96" i="28" s="1"/>
  <c r="I96" i="28" s="1"/>
  <c r="J96" i="28" s="1"/>
  <c r="K96" i="28" s="1"/>
  <c r="E189" i="28"/>
  <c r="F189" i="28" s="1"/>
  <c r="G189" i="28" s="1"/>
  <c r="H189" i="28" s="1"/>
  <c r="I189" i="28" s="1"/>
  <c r="J189" i="28" s="1"/>
  <c r="K189" i="28" s="1"/>
  <c r="E181" i="28"/>
  <c r="F181" i="28" s="1"/>
  <c r="G181" i="28" s="1"/>
  <c r="H181" i="28" s="1"/>
  <c r="I181" i="28" s="1"/>
  <c r="J181" i="28" s="1"/>
  <c r="K181" i="28" s="1"/>
  <c r="E176" i="28"/>
  <c r="F176" i="28" s="1"/>
  <c r="G176" i="28" s="1"/>
  <c r="H176" i="28" s="1"/>
  <c r="I176" i="28" s="1"/>
  <c r="J176" i="28" s="1"/>
  <c r="K176" i="28" s="1"/>
  <c r="E173" i="28"/>
  <c r="F173" i="28" s="1"/>
  <c r="G173" i="28" s="1"/>
  <c r="H173" i="28" s="1"/>
  <c r="I173" i="28" s="1"/>
  <c r="J173" i="28" s="1"/>
  <c r="K173" i="28" s="1"/>
  <c r="E138" i="28"/>
  <c r="F138" i="28" s="1"/>
  <c r="G138" i="28" s="1"/>
  <c r="H138" i="28" s="1"/>
  <c r="I138" i="28" s="1"/>
  <c r="J138" i="28" s="1"/>
  <c r="K138" i="28" s="1"/>
  <c r="E134" i="28"/>
  <c r="F134" i="28" s="1"/>
  <c r="G134" i="28" s="1"/>
  <c r="H134" i="28" s="1"/>
  <c r="I134" i="28" s="1"/>
  <c r="J134" i="28" s="1"/>
  <c r="K134" i="28" s="1"/>
  <c r="E130" i="28"/>
  <c r="F130" i="28" s="1"/>
  <c r="G130" i="28" s="1"/>
  <c r="H130" i="28" s="1"/>
  <c r="I130" i="28" s="1"/>
  <c r="J130" i="28" s="1"/>
  <c r="K130" i="28" s="1"/>
  <c r="E126" i="28"/>
  <c r="F126" i="28" s="1"/>
  <c r="G126" i="28" s="1"/>
  <c r="H126" i="28" s="1"/>
  <c r="I126" i="28" s="1"/>
  <c r="J126" i="28" s="1"/>
  <c r="K126" i="28" s="1"/>
  <c r="E122" i="28"/>
  <c r="F122" i="28" s="1"/>
  <c r="G122" i="28" s="1"/>
  <c r="H122" i="28" s="1"/>
  <c r="I122" i="28" s="1"/>
  <c r="J122" i="28" s="1"/>
  <c r="E118" i="28"/>
  <c r="F118" i="28" s="1"/>
  <c r="G118" i="28" s="1"/>
  <c r="H118" i="28" s="1"/>
  <c r="I118" i="28" s="1"/>
  <c r="J118" i="28" s="1"/>
  <c r="K118" i="28" s="1"/>
  <c r="E109" i="28"/>
  <c r="F109" i="28" s="1"/>
  <c r="G109" i="28" s="1"/>
  <c r="H109" i="28" s="1"/>
  <c r="I109" i="28" s="1"/>
  <c r="J109" i="28" s="1"/>
  <c r="K109" i="28" s="1"/>
  <c r="E105" i="28"/>
  <c r="F105" i="28" s="1"/>
  <c r="G105" i="28" s="1"/>
  <c r="H105" i="28" s="1"/>
  <c r="I105" i="28" s="1"/>
  <c r="J105" i="28" s="1"/>
  <c r="K105" i="28" s="1"/>
  <c r="E151" i="28"/>
  <c r="F151" i="28" s="1"/>
  <c r="G151" i="28" s="1"/>
  <c r="H151" i="28" s="1"/>
  <c r="I151" i="28" s="1"/>
  <c r="J151" i="28" s="1"/>
  <c r="K151" i="28" s="1"/>
  <c r="E139" i="28"/>
  <c r="F139" i="28" s="1"/>
  <c r="G139" i="28" s="1"/>
  <c r="H139" i="28" s="1"/>
  <c r="I139" i="28" s="1"/>
  <c r="J139" i="28" s="1"/>
  <c r="K139" i="28" s="1"/>
  <c r="E131" i="28"/>
  <c r="F131" i="28" s="1"/>
  <c r="G131" i="28" s="1"/>
  <c r="H131" i="28" s="1"/>
  <c r="I131" i="28" s="1"/>
  <c r="J131" i="28" s="1"/>
  <c r="K131" i="28" s="1"/>
  <c r="E127" i="28"/>
  <c r="F127" i="28" s="1"/>
  <c r="G127" i="28" s="1"/>
  <c r="H127" i="28" s="1"/>
  <c r="I127" i="28" s="1"/>
  <c r="J127" i="28" s="1"/>
  <c r="K127" i="28" s="1"/>
  <c r="E123" i="28"/>
  <c r="F123" i="28" s="1"/>
  <c r="G123" i="28" s="1"/>
  <c r="H123" i="28" s="1"/>
  <c r="I123" i="28" s="1"/>
  <c r="J123" i="28" s="1"/>
  <c r="K123" i="28" s="1"/>
  <c r="E119" i="28"/>
  <c r="F119" i="28" s="1"/>
  <c r="G119" i="28" s="1"/>
  <c r="H119" i="28" s="1"/>
  <c r="I119" i="28" s="1"/>
  <c r="J119" i="28" s="1"/>
  <c r="K119" i="28" s="1"/>
  <c r="E115" i="28"/>
  <c r="F115" i="28" s="1"/>
  <c r="G115" i="28" s="1"/>
  <c r="H115" i="28" s="1"/>
  <c r="I115" i="28" s="1"/>
  <c r="J115" i="28" s="1"/>
  <c r="K115" i="28" s="1"/>
  <c r="E110" i="28"/>
  <c r="F110" i="28" s="1"/>
  <c r="G110" i="28" s="1"/>
  <c r="H110" i="28" s="1"/>
  <c r="I110" i="28" s="1"/>
  <c r="J110" i="28" s="1"/>
  <c r="K110" i="28" s="1"/>
  <c r="E102" i="28"/>
  <c r="F102" i="28" s="1"/>
  <c r="G102" i="28" s="1"/>
  <c r="H102" i="28" s="1"/>
  <c r="I102" i="28" s="1"/>
  <c r="J102" i="28" s="1"/>
  <c r="K102" i="28" s="1"/>
  <c r="E98" i="28"/>
  <c r="F98" i="28" s="1"/>
  <c r="G98" i="28" s="1"/>
  <c r="H98" i="28" s="1"/>
  <c r="I98" i="28" s="1"/>
  <c r="J98" i="28" s="1"/>
  <c r="K98" i="28" s="1"/>
  <c r="E94" i="28"/>
  <c r="F94" i="28" s="1"/>
  <c r="G94" i="28" s="1"/>
  <c r="H94" i="28" s="1"/>
  <c r="I94" i="28" s="1"/>
  <c r="J94" i="28" s="1"/>
  <c r="K94" i="28" s="1"/>
  <c r="E144" i="28"/>
  <c r="F144" i="28" s="1"/>
  <c r="G144" i="28" s="1"/>
  <c r="H144" i="28" s="1"/>
  <c r="I144" i="28" s="1"/>
  <c r="J144" i="28" s="1"/>
  <c r="K144" i="28" s="1"/>
  <c r="E120" i="28"/>
  <c r="F120" i="28" s="1"/>
  <c r="G120" i="28" s="1"/>
  <c r="H120" i="28" s="1"/>
  <c r="I120" i="28" s="1"/>
  <c r="J120" i="28" s="1"/>
  <c r="K120" i="28" s="1"/>
  <c r="E116" i="28"/>
  <c r="F116" i="28" s="1"/>
  <c r="G116" i="28" s="1"/>
  <c r="H116" i="28" s="1"/>
  <c r="I116" i="28" s="1"/>
  <c r="J116" i="28" s="1"/>
  <c r="K116" i="28" s="1"/>
  <c r="E103" i="28"/>
  <c r="F103" i="28" s="1"/>
  <c r="G103" i="28" s="1"/>
  <c r="H103" i="28" s="1"/>
  <c r="I103" i="28" s="1"/>
  <c r="J103" i="28" s="1"/>
  <c r="K103" i="28" s="1"/>
  <c r="E84" i="28"/>
  <c r="F84" i="28" s="1"/>
  <c r="G84" i="28" s="1"/>
  <c r="H84" i="28" s="1"/>
  <c r="I84" i="28" s="1"/>
  <c r="J84" i="28" s="1"/>
  <c r="K84" i="28" s="1"/>
  <c r="E79" i="28"/>
  <c r="F79" i="28" s="1"/>
  <c r="G79" i="28" s="1"/>
  <c r="H79" i="28" s="1"/>
  <c r="I79" i="28" s="1"/>
  <c r="J79" i="28" s="1"/>
  <c r="K79" i="28" s="1"/>
  <c r="E75" i="28"/>
  <c r="F75" i="28" s="1"/>
  <c r="G75" i="28" s="1"/>
  <c r="H75" i="28" s="1"/>
  <c r="I75" i="28" s="1"/>
  <c r="J75" i="28" s="1"/>
  <c r="K75" i="28" s="1"/>
  <c r="E71" i="28"/>
  <c r="F71" i="28" s="1"/>
  <c r="G71" i="28" s="1"/>
  <c r="H71" i="28" s="1"/>
  <c r="I71" i="28" s="1"/>
  <c r="J71" i="28" s="1"/>
  <c r="K71" i="28" s="1"/>
  <c r="E67" i="28"/>
  <c r="F67" i="28" s="1"/>
  <c r="G67" i="28" s="1"/>
  <c r="H67" i="28" s="1"/>
  <c r="I67" i="28" s="1"/>
  <c r="J67" i="28" s="1"/>
  <c r="K67" i="28" s="1"/>
  <c r="E59" i="28"/>
  <c r="F59" i="28" s="1"/>
  <c r="G59" i="28" s="1"/>
  <c r="H59" i="28" s="1"/>
  <c r="I59" i="28" s="1"/>
  <c r="J59" i="28" s="1"/>
  <c r="K59" i="28" s="1"/>
  <c r="E55" i="28"/>
  <c r="F55" i="28" s="1"/>
  <c r="G55" i="28" s="1"/>
  <c r="H55" i="28" s="1"/>
  <c r="I55" i="28" s="1"/>
  <c r="J55" i="28" s="1"/>
  <c r="K55" i="28" s="1"/>
  <c r="E51" i="28"/>
  <c r="F51" i="28" s="1"/>
  <c r="G51" i="28" s="1"/>
  <c r="H51" i="28" s="1"/>
  <c r="I51" i="28" s="1"/>
  <c r="J51" i="28" s="1"/>
  <c r="K51" i="28" s="1"/>
  <c r="E47" i="28"/>
  <c r="F47" i="28" s="1"/>
  <c r="G47" i="28" s="1"/>
  <c r="H47" i="28" s="1"/>
  <c r="I47" i="28" s="1"/>
  <c r="J47" i="28" s="1"/>
  <c r="K47" i="28" s="1"/>
  <c r="E43" i="28"/>
  <c r="F43" i="28" s="1"/>
  <c r="G43" i="28" s="1"/>
  <c r="H43" i="28" s="1"/>
  <c r="I43" i="28" s="1"/>
  <c r="J43" i="28" s="1"/>
  <c r="E168" i="28"/>
  <c r="F168" i="28" s="1"/>
  <c r="G168" i="28" s="1"/>
  <c r="H168" i="28" s="1"/>
  <c r="I168" i="28" s="1"/>
  <c r="J168" i="28" s="1"/>
  <c r="K168" i="28" s="1"/>
  <c r="E143" i="28"/>
  <c r="F143" i="28" s="1"/>
  <c r="G143" i="28" s="1"/>
  <c r="H143" i="28" s="1"/>
  <c r="I143" i="28" s="1"/>
  <c r="J143" i="28" s="1"/>
  <c r="K143" i="28" s="1"/>
  <c r="E97" i="28"/>
  <c r="F97" i="28" s="1"/>
  <c r="G97" i="28" s="1"/>
  <c r="H97" i="28" s="1"/>
  <c r="I97" i="28" s="1"/>
  <c r="J97" i="28" s="1"/>
  <c r="K97" i="28" s="1"/>
  <c r="E95" i="28"/>
  <c r="F95" i="28" s="1"/>
  <c r="G95" i="28" s="1"/>
  <c r="H95" i="28" s="1"/>
  <c r="I95" i="28" s="1"/>
  <c r="J95" i="28" s="1"/>
  <c r="K95" i="28" s="1"/>
  <c r="E93" i="28"/>
  <c r="F93" i="28" s="1"/>
  <c r="G93" i="28" s="1"/>
  <c r="H93" i="28" s="1"/>
  <c r="I93" i="28" s="1"/>
  <c r="J93" i="28" s="1"/>
  <c r="K93" i="28" s="1"/>
  <c r="E89" i="28"/>
  <c r="F89" i="28" s="1"/>
  <c r="G89" i="28" s="1"/>
  <c r="H89" i="28" s="1"/>
  <c r="I89" i="28" s="1"/>
  <c r="J89" i="28" s="1"/>
  <c r="K89" i="28" s="1"/>
  <c r="E80" i="28"/>
  <c r="F80" i="28" s="1"/>
  <c r="G80" i="28" s="1"/>
  <c r="H80" i="28" s="1"/>
  <c r="I80" i="28" s="1"/>
  <c r="J80" i="28" s="1"/>
  <c r="K80" i="28" s="1"/>
  <c r="E76" i="28"/>
  <c r="F76" i="28" s="1"/>
  <c r="G76" i="28" s="1"/>
  <c r="H76" i="28" s="1"/>
  <c r="I76" i="28" s="1"/>
  <c r="J76" i="28" s="1"/>
  <c r="K76" i="28" s="1"/>
  <c r="E72" i="28"/>
  <c r="F72" i="28" s="1"/>
  <c r="G72" i="28" s="1"/>
  <c r="H72" i="28" s="1"/>
  <c r="I72" i="28" s="1"/>
  <c r="J72" i="28" s="1"/>
  <c r="K72" i="28" s="1"/>
  <c r="E68" i="28"/>
  <c r="F68" i="28" s="1"/>
  <c r="G68" i="28" s="1"/>
  <c r="H68" i="28" s="1"/>
  <c r="I68" i="28" s="1"/>
  <c r="J68" i="28" s="1"/>
  <c r="K68" i="28" s="1"/>
  <c r="E64" i="28"/>
  <c r="F64" i="28" s="1"/>
  <c r="G64" i="28" s="1"/>
  <c r="H64" i="28" s="1"/>
  <c r="I64" i="28" s="1"/>
  <c r="J64" i="28" s="1"/>
  <c r="K64" i="28" s="1"/>
  <c r="E60" i="28"/>
  <c r="F60" i="28" s="1"/>
  <c r="G60" i="28" s="1"/>
  <c r="H60" i="28" s="1"/>
  <c r="I60" i="28" s="1"/>
  <c r="J60" i="28" s="1"/>
  <c r="K60" i="28" s="1"/>
  <c r="E52" i="28"/>
  <c r="F52" i="28" s="1"/>
  <c r="G52" i="28" s="1"/>
  <c r="H52" i="28" s="1"/>
  <c r="I52" i="28" s="1"/>
  <c r="J52" i="28" s="1"/>
  <c r="K52" i="28" s="1"/>
  <c r="E48" i="28"/>
  <c r="F48" i="28" s="1"/>
  <c r="G48" i="28" s="1"/>
  <c r="H48" i="28" s="1"/>
  <c r="I48" i="28" s="1"/>
  <c r="J48" i="28" s="1"/>
  <c r="K48" i="28" s="1"/>
  <c r="E44" i="28"/>
  <c r="F44" i="28" s="1"/>
  <c r="G44" i="28" s="1"/>
  <c r="H44" i="28" s="1"/>
  <c r="I44" i="28" s="1"/>
  <c r="J44" i="28" s="1"/>
  <c r="K44" i="28" s="1"/>
  <c r="E40" i="28"/>
  <c r="F40" i="28" s="1"/>
  <c r="G40" i="28" s="1"/>
  <c r="H40" i="28" s="1"/>
  <c r="I40" i="28" s="1"/>
  <c r="J40" i="28" s="1"/>
  <c r="K40" i="28" s="1"/>
  <c r="E36" i="28"/>
  <c r="F36" i="28" s="1"/>
  <c r="G36" i="28" s="1"/>
  <c r="H36" i="28" s="1"/>
  <c r="I36" i="28" s="1"/>
  <c r="J36" i="28" s="1"/>
  <c r="K36" i="28" s="1"/>
  <c r="E136" i="28"/>
  <c r="F136" i="28" s="1"/>
  <c r="G136" i="28" s="1"/>
  <c r="H136" i="28" s="1"/>
  <c r="I136" i="28" s="1"/>
  <c r="J136" i="28" s="1"/>
  <c r="K136" i="28" s="1"/>
  <c r="E107" i="28"/>
  <c r="F107" i="28" s="1"/>
  <c r="G107" i="28" s="1"/>
  <c r="H107" i="28" s="1"/>
  <c r="I107" i="28" s="1"/>
  <c r="J107" i="28" s="1"/>
  <c r="K107" i="28" s="1"/>
  <c r="E90" i="28"/>
  <c r="F90" i="28" s="1"/>
  <c r="G90" i="28" s="1"/>
  <c r="H90" i="28" s="1"/>
  <c r="I90" i="28" s="1"/>
  <c r="J90" i="28" s="1"/>
  <c r="K90" i="28" s="1"/>
  <c r="E86" i="28"/>
  <c r="F86" i="28" s="1"/>
  <c r="G86" i="28" s="1"/>
  <c r="H86" i="28" s="1"/>
  <c r="I86" i="28" s="1"/>
  <c r="J86" i="28" s="1"/>
  <c r="K86" i="28" s="1"/>
  <c r="E81" i="28"/>
  <c r="F81" i="28" s="1"/>
  <c r="G81" i="28" s="1"/>
  <c r="H81" i="28" s="1"/>
  <c r="I81" i="28" s="1"/>
  <c r="J81" i="28" s="1"/>
  <c r="K81" i="28" s="1"/>
  <c r="E73" i="28"/>
  <c r="F73" i="28" s="1"/>
  <c r="G73" i="28" s="1"/>
  <c r="H73" i="28" s="1"/>
  <c r="I73" i="28" s="1"/>
  <c r="J73" i="28" s="1"/>
  <c r="K73" i="28" s="1"/>
  <c r="E69" i="28"/>
  <c r="F69" i="28" s="1"/>
  <c r="G69" i="28" s="1"/>
  <c r="H69" i="28" s="1"/>
  <c r="I69" i="28" s="1"/>
  <c r="J69" i="28" s="1"/>
  <c r="K69" i="28" s="1"/>
  <c r="E65" i="28"/>
  <c r="F65" i="28" s="1"/>
  <c r="G65" i="28" s="1"/>
  <c r="H65" i="28" s="1"/>
  <c r="I65" i="28" s="1"/>
  <c r="J65" i="28" s="1"/>
  <c r="K65" i="28" s="1"/>
  <c r="E61" i="28"/>
  <c r="F61" i="28" s="1"/>
  <c r="G61" i="28" s="1"/>
  <c r="H61" i="28" s="1"/>
  <c r="I61" i="28" s="1"/>
  <c r="J61" i="28" s="1"/>
  <c r="K61" i="28" s="1"/>
  <c r="E57" i="28"/>
  <c r="F57" i="28" s="1"/>
  <c r="G57" i="28" s="1"/>
  <c r="H57" i="28" s="1"/>
  <c r="I57" i="28" s="1"/>
  <c r="J57" i="28" s="1"/>
  <c r="K57" i="28" s="1"/>
  <c r="E53" i="28"/>
  <c r="F53" i="28" s="1"/>
  <c r="G53" i="28" s="1"/>
  <c r="H53" i="28" s="1"/>
  <c r="I53" i="28" s="1"/>
  <c r="J53" i="28" s="1"/>
  <c r="K53" i="28" s="1"/>
  <c r="E45" i="28"/>
  <c r="F45" i="28" s="1"/>
  <c r="G45" i="28" s="1"/>
  <c r="H45" i="28" s="1"/>
  <c r="I45" i="28" s="1"/>
  <c r="J45" i="28" s="1"/>
  <c r="K45" i="28" s="1"/>
  <c r="E41" i="28"/>
  <c r="F41" i="28" s="1"/>
  <c r="G41" i="28" s="1"/>
  <c r="H41" i="28" s="1"/>
  <c r="I41" i="28" s="1"/>
  <c r="J41" i="28" s="1"/>
  <c r="K41" i="28" s="1"/>
  <c r="E37" i="28"/>
  <c r="F37" i="28" s="1"/>
  <c r="G37" i="28" s="1"/>
  <c r="H37" i="28" s="1"/>
  <c r="I37" i="28" s="1"/>
  <c r="J37" i="28" s="1"/>
  <c r="K37" i="28" s="1"/>
  <c r="E33" i="28"/>
  <c r="F33" i="28" s="1"/>
  <c r="G33" i="28" s="1"/>
  <c r="H33" i="28" s="1"/>
  <c r="I33" i="28" s="1"/>
  <c r="J33" i="28" s="1"/>
  <c r="K33" i="28" s="1"/>
  <c r="E29" i="28"/>
  <c r="F29" i="28" s="1"/>
  <c r="G29" i="28" s="1"/>
  <c r="H29" i="28" s="1"/>
  <c r="I29" i="28" s="1"/>
  <c r="J29" i="28" s="1"/>
  <c r="K29" i="28" s="1"/>
  <c r="E25" i="28"/>
  <c r="F25" i="28" s="1"/>
  <c r="G25" i="28" s="1"/>
  <c r="H25" i="28" s="1"/>
  <c r="I25" i="28" s="1"/>
  <c r="J25" i="28" s="1"/>
  <c r="K25" i="28" s="1"/>
  <c r="E17" i="28"/>
  <c r="F17" i="28" s="1"/>
  <c r="G17" i="28" s="1"/>
  <c r="H17" i="28" s="1"/>
  <c r="I17" i="28" s="1"/>
  <c r="J17" i="28" s="1"/>
  <c r="K17" i="28" s="1"/>
  <c r="E13" i="28"/>
  <c r="F13" i="28" s="1"/>
  <c r="G13" i="28" s="1"/>
  <c r="H13" i="28" s="1"/>
  <c r="I13" i="28" s="1"/>
  <c r="J13" i="28" s="1"/>
  <c r="K13" i="28" s="1"/>
  <c r="E156" i="28"/>
  <c r="F156" i="28" s="1"/>
  <c r="G156" i="28" s="1"/>
  <c r="H156" i="28" s="1"/>
  <c r="I156" i="28" s="1"/>
  <c r="J156" i="28" s="1"/>
  <c r="K156" i="28" s="1"/>
  <c r="E101" i="28"/>
  <c r="F101" i="28" s="1"/>
  <c r="G101" i="28" s="1"/>
  <c r="H101" i="28" s="1"/>
  <c r="I101" i="28" s="1"/>
  <c r="J101" i="28" s="1"/>
  <c r="K101" i="28" s="1"/>
  <c r="E66" i="28"/>
  <c r="F66" i="28" s="1"/>
  <c r="G66" i="28" s="1"/>
  <c r="H66" i="28" s="1"/>
  <c r="I66" i="28" s="1"/>
  <c r="J66" i="28" s="1"/>
  <c r="K66" i="28" s="1"/>
  <c r="E62" i="28"/>
  <c r="F62" i="28" s="1"/>
  <c r="G62" i="28" s="1"/>
  <c r="H62" i="28" s="1"/>
  <c r="I62" i="28" s="1"/>
  <c r="J62" i="28" s="1"/>
  <c r="K62" i="28" s="1"/>
  <c r="E54" i="28"/>
  <c r="F54" i="28" s="1"/>
  <c r="G54" i="28" s="1"/>
  <c r="H54" i="28" s="1"/>
  <c r="I54" i="28" s="1"/>
  <c r="J54" i="28" s="1"/>
  <c r="K54" i="28" s="1"/>
  <c r="E39" i="28"/>
  <c r="F39" i="28" s="1"/>
  <c r="G39" i="28" s="1"/>
  <c r="H39" i="28" s="1"/>
  <c r="I39" i="28" s="1"/>
  <c r="J39" i="28" s="1"/>
  <c r="K39" i="28" s="1"/>
  <c r="E31" i="28"/>
  <c r="F31" i="28" s="1"/>
  <c r="G31" i="28" s="1"/>
  <c r="H31" i="28" s="1"/>
  <c r="I31" i="28" s="1"/>
  <c r="J31" i="28" s="1"/>
  <c r="K31" i="28" s="1"/>
  <c r="E19" i="28"/>
  <c r="F19" i="28" s="1"/>
  <c r="G19" i="28" s="1"/>
  <c r="H19" i="28" s="1"/>
  <c r="I19" i="28" s="1"/>
  <c r="J19" i="28" s="1"/>
  <c r="K19" i="28" s="1"/>
  <c r="E16" i="28"/>
  <c r="F16" i="28" s="1"/>
  <c r="G16" i="28" s="1"/>
  <c r="H16" i="28" s="1"/>
  <c r="I16" i="28" s="1"/>
  <c r="J16" i="28" s="1"/>
  <c r="K16" i="28" s="1"/>
  <c r="E11" i="28"/>
  <c r="F11" i="28" s="1"/>
  <c r="G11" i="28" s="1"/>
  <c r="H11" i="28" s="1"/>
  <c r="I11" i="28" s="1"/>
  <c r="J11" i="28" s="1"/>
  <c r="K11" i="28" s="1"/>
  <c r="E23" i="28"/>
  <c r="F23" i="28" s="1"/>
  <c r="G23" i="28" s="1"/>
  <c r="H23" i="28" s="1"/>
  <c r="I23" i="28" s="1"/>
  <c r="J23" i="28" s="1"/>
  <c r="K23" i="28" s="1"/>
  <c r="E140" i="28"/>
  <c r="F140" i="28" s="1"/>
  <c r="G140" i="28" s="1"/>
  <c r="H140" i="28" s="1"/>
  <c r="I140" i="28" s="1"/>
  <c r="J140" i="28" s="1"/>
  <c r="K140" i="28" s="1"/>
  <c r="E78" i="28"/>
  <c r="F78" i="28" s="1"/>
  <c r="G78" i="28" s="1"/>
  <c r="H78" i="28" s="1"/>
  <c r="I78" i="28" s="1"/>
  <c r="J78" i="28" s="1"/>
  <c r="K78" i="28" s="1"/>
  <c r="E46" i="28"/>
  <c r="F46" i="28" s="1"/>
  <c r="G46" i="28" s="1"/>
  <c r="H46" i="28" s="1"/>
  <c r="I46" i="28" s="1"/>
  <c r="J46" i="28" s="1"/>
  <c r="K46" i="28" s="1"/>
  <c r="E34" i="28"/>
  <c r="F34" i="28" s="1"/>
  <c r="G34" i="28" s="1"/>
  <c r="H34" i="28" s="1"/>
  <c r="I34" i="28" s="1"/>
  <c r="J34" i="28" s="1"/>
  <c r="K34" i="28" s="1"/>
  <c r="E30" i="28"/>
  <c r="F30" i="28" s="1"/>
  <c r="G30" i="28" s="1"/>
  <c r="H30" i="28" s="1"/>
  <c r="I30" i="28" s="1"/>
  <c r="J30" i="28" s="1"/>
  <c r="K30" i="28" s="1"/>
  <c r="E27" i="28"/>
  <c r="F27" i="28" s="1"/>
  <c r="G27" i="28" s="1"/>
  <c r="H27" i="28" s="1"/>
  <c r="I27" i="28" s="1"/>
  <c r="J27" i="28" s="1"/>
  <c r="K27" i="28" s="1"/>
  <c r="E24" i="28"/>
  <c r="F24" i="28" s="1"/>
  <c r="G24" i="28" s="1"/>
  <c r="H24" i="28" s="1"/>
  <c r="I24" i="28" s="1"/>
  <c r="J24" i="28" s="1"/>
  <c r="K24" i="28" s="1"/>
  <c r="E18" i="28"/>
  <c r="F18" i="28" s="1"/>
  <c r="G18" i="28" s="1"/>
  <c r="H18" i="28" s="1"/>
  <c r="I18" i="28" s="1"/>
  <c r="J18" i="28" s="1"/>
  <c r="K18" i="28" s="1"/>
  <c r="E15" i="28"/>
  <c r="F15" i="28" s="1"/>
  <c r="G15" i="28" s="1"/>
  <c r="H15" i="28" s="1"/>
  <c r="I15" i="28" s="1"/>
  <c r="J15" i="28" s="1"/>
  <c r="K15" i="28" s="1"/>
  <c r="E12" i="28"/>
  <c r="F12" i="28" s="1"/>
  <c r="G12" i="28" s="1"/>
  <c r="H12" i="28" s="1"/>
  <c r="I12" i="28" s="1"/>
  <c r="J12" i="28" s="1"/>
  <c r="K12" i="28" s="1"/>
  <c r="E132" i="28"/>
  <c r="F132" i="28" s="1"/>
  <c r="G132" i="28" s="1"/>
  <c r="H132" i="28" s="1"/>
  <c r="I132" i="28" s="1"/>
  <c r="J132" i="28" s="1"/>
  <c r="K132" i="28" s="1"/>
  <c r="E91" i="28"/>
  <c r="F91" i="28" s="1"/>
  <c r="G91" i="28" s="1"/>
  <c r="H91" i="28" s="1"/>
  <c r="I91" i="28" s="1"/>
  <c r="J91" i="28" s="1"/>
  <c r="K91" i="28" s="1"/>
  <c r="E87" i="28"/>
  <c r="F87" i="28" s="1"/>
  <c r="G87" i="28" s="1"/>
  <c r="H87" i="28" s="1"/>
  <c r="I87" i="28" s="1"/>
  <c r="J87" i="28" s="1"/>
  <c r="K87" i="28" s="1"/>
  <c r="E58" i="28"/>
  <c r="F58" i="28" s="1"/>
  <c r="G58" i="28" s="1"/>
  <c r="H58" i="28" s="1"/>
  <c r="I58" i="28" s="1"/>
  <c r="J58" i="28" s="1"/>
  <c r="K58" i="28" s="1"/>
  <c r="E50" i="28"/>
  <c r="F50" i="28" s="1"/>
  <c r="G50" i="28" s="1"/>
  <c r="H50" i="28" s="1"/>
  <c r="I50" i="28" s="1"/>
  <c r="J50" i="28" s="1"/>
  <c r="E38" i="28"/>
  <c r="F38" i="28" s="1"/>
  <c r="G38" i="28" s="1"/>
  <c r="H38" i="28" s="1"/>
  <c r="I38" i="28" s="1"/>
  <c r="J38" i="28" s="1"/>
  <c r="K38" i="28" s="1"/>
  <c r="E32" i="28"/>
  <c r="F32" i="28" s="1"/>
  <c r="G32" i="28" s="1"/>
  <c r="H32" i="28" s="1"/>
  <c r="I32" i="28" s="1"/>
  <c r="J32" i="28" s="1"/>
  <c r="K32" i="28" s="1"/>
  <c r="E22" i="28"/>
  <c r="F22" i="28" s="1"/>
  <c r="G22" i="28" s="1"/>
  <c r="H22" i="28" s="1"/>
  <c r="I22" i="28" s="1"/>
  <c r="J22" i="28" s="1"/>
  <c r="K22" i="28" s="1"/>
  <c r="E20" i="28"/>
  <c r="F20" i="28" s="1"/>
  <c r="G20" i="28" s="1"/>
  <c r="H20" i="28" s="1"/>
  <c r="I20" i="28" s="1"/>
  <c r="J20" i="28" s="1"/>
  <c r="K20" i="28" s="1"/>
  <c r="E10" i="28"/>
  <c r="F10" i="28" s="1"/>
  <c r="G10" i="28" s="1"/>
  <c r="H10" i="28" s="1"/>
  <c r="I10" i="28" s="1"/>
  <c r="J10" i="28" s="1"/>
  <c r="K10" i="28" s="1"/>
  <c r="E74" i="28"/>
  <c r="F74" i="28" s="1"/>
  <c r="G74" i="28" s="1"/>
  <c r="H74" i="28" s="1"/>
  <c r="I74" i="28" s="1"/>
  <c r="J74" i="28" s="1"/>
  <c r="K74" i="28" s="1"/>
  <c r="E26" i="28"/>
  <c r="F26" i="28" s="1"/>
  <c r="G26" i="28" s="1"/>
  <c r="H26" i="28" s="1"/>
  <c r="I26" i="28" s="1"/>
  <c r="J26" i="28" s="1"/>
  <c r="K26" i="28" s="1"/>
  <c r="E9" i="28"/>
  <c r="F9" i="28" s="1"/>
  <c r="G9" i="28" s="1"/>
  <c r="H9" i="28" s="1"/>
  <c r="I9" i="28" s="1"/>
  <c r="J9" i="28" s="1"/>
  <c r="K9" i="28" s="1"/>
  <c r="E215" i="27"/>
  <c r="F215" i="27" s="1"/>
  <c r="G215" i="27" s="1"/>
  <c r="H215" i="27" s="1"/>
  <c r="I215" i="27" s="1"/>
  <c r="J215" i="27" s="1"/>
  <c r="K215" i="27" s="1"/>
  <c r="E211" i="27"/>
  <c r="F211" i="27" s="1"/>
  <c r="G211" i="27" s="1"/>
  <c r="H211" i="27" s="1"/>
  <c r="I211" i="27" s="1"/>
  <c r="J211" i="27" s="1"/>
  <c r="K211" i="27" s="1"/>
  <c r="E207" i="27"/>
  <c r="F207" i="27" s="1"/>
  <c r="G207" i="27" s="1"/>
  <c r="H207" i="27" s="1"/>
  <c r="I207" i="27" s="1"/>
  <c r="J207" i="27" s="1"/>
  <c r="K207" i="27" s="1"/>
  <c r="E203" i="27"/>
  <c r="F203" i="27" s="1"/>
  <c r="G203" i="27" s="1"/>
  <c r="H203" i="27" s="1"/>
  <c r="I203" i="27" s="1"/>
  <c r="J203" i="27" s="1"/>
  <c r="K203" i="27" s="1"/>
  <c r="E195" i="27"/>
  <c r="F195" i="27" s="1"/>
  <c r="G195" i="27" s="1"/>
  <c r="H195" i="27" s="1"/>
  <c r="I195" i="27" s="1"/>
  <c r="J195" i="27" s="1"/>
  <c r="K195" i="27" s="1"/>
  <c r="E191" i="27"/>
  <c r="F191" i="27" s="1"/>
  <c r="G191" i="27" s="1"/>
  <c r="H191" i="27" s="1"/>
  <c r="I191" i="27" s="1"/>
  <c r="J191" i="27" s="1"/>
  <c r="K191" i="27" s="1"/>
  <c r="E187" i="27"/>
  <c r="F187" i="27" s="1"/>
  <c r="G187" i="27" s="1"/>
  <c r="H187" i="27" s="1"/>
  <c r="I187" i="27" s="1"/>
  <c r="J187" i="27" s="1"/>
  <c r="K187" i="27" s="1"/>
  <c r="E183" i="27"/>
  <c r="F183" i="27" s="1"/>
  <c r="G183" i="27" s="1"/>
  <c r="H183" i="27" s="1"/>
  <c r="I183" i="27" s="1"/>
  <c r="J183" i="27" s="1"/>
  <c r="K183" i="27" s="1"/>
  <c r="E179" i="27"/>
  <c r="F179" i="27" s="1"/>
  <c r="G179" i="27" s="1"/>
  <c r="H179" i="27" s="1"/>
  <c r="I179" i="27" s="1"/>
  <c r="J179" i="27" s="1"/>
  <c r="K179" i="27" s="1"/>
  <c r="E175" i="27"/>
  <c r="F175" i="27" s="1"/>
  <c r="G175" i="27" s="1"/>
  <c r="H175" i="27" s="1"/>
  <c r="I175" i="27" s="1"/>
  <c r="J175" i="27" s="1"/>
  <c r="K175" i="27" s="1"/>
  <c r="E216" i="27"/>
  <c r="F216" i="27" s="1"/>
  <c r="G216" i="27" s="1"/>
  <c r="H216" i="27" s="1"/>
  <c r="I216" i="27" s="1"/>
  <c r="J216" i="27" s="1"/>
  <c r="K216" i="27" s="1"/>
  <c r="E212" i="27"/>
  <c r="F212" i="27" s="1"/>
  <c r="G212" i="27" s="1"/>
  <c r="H212" i="27" s="1"/>
  <c r="I212" i="27" s="1"/>
  <c r="J212" i="27" s="1"/>
  <c r="K212" i="27" s="1"/>
  <c r="E208" i="27"/>
  <c r="F208" i="27" s="1"/>
  <c r="G208" i="27" s="1"/>
  <c r="H208" i="27" s="1"/>
  <c r="I208" i="27" s="1"/>
  <c r="J208" i="27" s="1"/>
  <c r="K208" i="27" s="1"/>
  <c r="E204" i="27"/>
  <c r="F204" i="27" s="1"/>
  <c r="G204" i="27" s="1"/>
  <c r="H204" i="27" s="1"/>
  <c r="I204" i="27" s="1"/>
  <c r="J204" i="27" s="1"/>
  <c r="K204" i="27" s="1"/>
  <c r="E200" i="27"/>
  <c r="F200" i="27" s="1"/>
  <c r="G200" i="27" s="1"/>
  <c r="H200" i="27" s="1"/>
  <c r="I200" i="27" s="1"/>
  <c r="J200" i="27" s="1"/>
  <c r="K200" i="27" s="1"/>
  <c r="E196" i="27"/>
  <c r="F196" i="27" s="1"/>
  <c r="G196" i="27" s="1"/>
  <c r="H196" i="27" s="1"/>
  <c r="I196" i="27" s="1"/>
  <c r="J196" i="27" s="1"/>
  <c r="K196" i="27" s="1"/>
  <c r="E188" i="27"/>
  <c r="F188" i="27" s="1"/>
  <c r="G188" i="27" s="1"/>
  <c r="H188" i="27" s="1"/>
  <c r="I188" i="27" s="1"/>
  <c r="J188" i="27" s="1"/>
  <c r="K188" i="27" s="1"/>
  <c r="E184" i="27"/>
  <c r="F184" i="27" s="1"/>
  <c r="G184" i="27" s="1"/>
  <c r="H184" i="27" s="1"/>
  <c r="I184" i="27" s="1"/>
  <c r="J184" i="27" s="1"/>
  <c r="E180" i="27"/>
  <c r="F180" i="27" s="1"/>
  <c r="G180" i="27" s="1"/>
  <c r="H180" i="27" s="1"/>
  <c r="I180" i="27" s="1"/>
  <c r="J180" i="27" s="1"/>
  <c r="K180" i="27" s="1"/>
  <c r="E176" i="27"/>
  <c r="F176" i="27" s="1"/>
  <c r="G176" i="27" s="1"/>
  <c r="H176" i="27" s="1"/>
  <c r="I176" i="27" s="1"/>
  <c r="J176" i="27" s="1"/>
  <c r="K176" i="27" s="1"/>
  <c r="E172" i="27"/>
  <c r="F172" i="27" s="1"/>
  <c r="G172" i="27" s="1"/>
  <c r="H172" i="27" s="1"/>
  <c r="I172" i="27" s="1"/>
  <c r="J172" i="27" s="1"/>
  <c r="K172" i="27" s="1"/>
  <c r="E217" i="27"/>
  <c r="F217" i="27" s="1"/>
  <c r="G217" i="27" s="1"/>
  <c r="H217" i="27" s="1"/>
  <c r="I217" i="27" s="1"/>
  <c r="J217" i="27" s="1"/>
  <c r="K217" i="27" s="1"/>
  <c r="E209" i="27"/>
  <c r="F209" i="27" s="1"/>
  <c r="G209" i="27" s="1"/>
  <c r="H209" i="27" s="1"/>
  <c r="I209" i="27" s="1"/>
  <c r="J209" i="27" s="1"/>
  <c r="K209" i="27" s="1"/>
  <c r="E205" i="27"/>
  <c r="F205" i="27" s="1"/>
  <c r="G205" i="27" s="1"/>
  <c r="H205" i="27" s="1"/>
  <c r="I205" i="27" s="1"/>
  <c r="J205" i="27" s="1"/>
  <c r="K205" i="27" s="1"/>
  <c r="E201" i="27"/>
  <c r="F201" i="27" s="1"/>
  <c r="G201" i="27" s="1"/>
  <c r="H201" i="27" s="1"/>
  <c r="I201" i="27" s="1"/>
  <c r="J201" i="27" s="1"/>
  <c r="K201" i="27" s="1"/>
  <c r="E197" i="27"/>
  <c r="F197" i="27" s="1"/>
  <c r="G197" i="27" s="1"/>
  <c r="H197" i="27" s="1"/>
  <c r="I197" i="27" s="1"/>
  <c r="J197" i="27" s="1"/>
  <c r="K197" i="27" s="1"/>
  <c r="E193" i="27"/>
  <c r="F193" i="27" s="1"/>
  <c r="G193" i="27" s="1"/>
  <c r="H193" i="27" s="1"/>
  <c r="I193" i="27" s="1"/>
  <c r="J193" i="27" s="1"/>
  <c r="K193" i="27" s="1"/>
  <c r="E189" i="27"/>
  <c r="F189" i="27" s="1"/>
  <c r="G189" i="27" s="1"/>
  <c r="H189" i="27" s="1"/>
  <c r="I189" i="27" s="1"/>
  <c r="J189" i="27" s="1"/>
  <c r="K189" i="27" s="1"/>
  <c r="E181" i="27"/>
  <c r="F181" i="27" s="1"/>
  <c r="G181" i="27" s="1"/>
  <c r="H181" i="27" s="1"/>
  <c r="I181" i="27" s="1"/>
  <c r="J181" i="27" s="1"/>
  <c r="K181" i="27" s="1"/>
  <c r="E202" i="27"/>
  <c r="F202" i="27" s="1"/>
  <c r="G202" i="27" s="1"/>
  <c r="H202" i="27" s="1"/>
  <c r="I202" i="27" s="1"/>
  <c r="J202" i="27" s="1"/>
  <c r="K202" i="27" s="1"/>
  <c r="E198" i="27"/>
  <c r="F198" i="27" s="1"/>
  <c r="G198" i="27" s="1"/>
  <c r="H198" i="27" s="1"/>
  <c r="I198" i="27" s="1"/>
  <c r="J198" i="27" s="1"/>
  <c r="K198" i="27" s="1"/>
  <c r="E174" i="27"/>
  <c r="F174" i="27" s="1"/>
  <c r="G174" i="27" s="1"/>
  <c r="H174" i="27" s="1"/>
  <c r="I174" i="27" s="1"/>
  <c r="J174" i="27" s="1"/>
  <c r="K174" i="27" s="1"/>
  <c r="E170" i="27"/>
  <c r="F170" i="27" s="1"/>
  <c r="G170" i="27" s="1"/>
  <c r="H170" i="27" s="1"/>
  <c r="I170" i="27" s="1"/>
  <c r="J170" i="27" s="1"/>
  <c r="K170" i="27" s="1"/>
  <c r="E168" i="27"/>
  <c r="F168" i="27" s="1"/>
  <c r="G168" i="27" s="1"/>
  <c r="H168" i="27" s="1"/>
  <c r="I168" i="27" s="1"/>
  <c r="J168" i="27" s="1"/>
  <c r="K168" i="27" s="1"/>
  <c r="E156" i="27"/>
  <c r="F156" i="27" s="1"/>
  <c r="G156" i="27" s="1"/>
  <c r="H156" i="27" s="1"/>
  <c r="I156" i="27" s="1"/>
  <c r="J156" i="27" s="1"/>
  <c r="K156" i="27" s="1"/>
  <c r="E151" i="27"/>
  <c r="F151" i="27" s="1"/>
  <c r="G151" i="27" s="1"/>
  <c r="H151" i="27" s="1"/>
  <c r="I151" i="27" s="1"/>
  <c r="J151" i="27" s="1"/>
  <c r="K151" i="27" s="1"/>
  <c r="E147" i="27"/>
  <c r="F147" i="27" s="1"/>
  <c r="G147" i="27" s="1"/>
  <c r="H147" i="27" s="1"/>
  <c r="I147" i="27" s="1"/>
  <c r="J147" i="27" s="1"/>
  <c r="K147" i="27" s="1"/>
  <c r="E143" i="27"/>
  <c r="F143" i="27" s="1"/>
  <c r="G143" i="27" s="1"/>
  <c r="H143" i="27" s="1"/>
  <c r="I143" i="27" s="1"/>
  <c r="J143" i="27" s="1"/>
  <c r="K143" i="27" s="1"/>
  <c r="E139" i="27"/>
  <c r="F139" i="27" s="1"/>
  <c r="G139" i="27" s="1"/>
  <c r="H139" i="27" s="1"/>
  <c r="I139" i="27" s="1"/>
  <c r="J139" i="27" s="1"/>
  <c r="K139" i="27" s="1"/>
  <c r="E177" i="27"/>
  <c r="F177" i="27" s="1"/>
  <c r="G177" i="27" s="1"/>
  <c r="H177" i="27" s="1"/>
  <c r="I177" i="27" s="1"/>
  <c r="J177" i="27" s="1"/>
  <c r="K177" i="27" s="1"/>
  <c r="E169" i="27"/>
  <c r="F169" i="27" s="1"/>
  <c r="G169" i="27" s="1"/>
  <c r="H169" i="27" s="1"/>
  <c r="I169" i="27" s="1"/>
  <c r="J169" i="27" s="1"/>
  <c r="K169" i="27" s="1"/>
  <c r="E165" i="27"/>
  <c r="F165" i="27" s="1"/>
  <c r="G165" i="27" s="1"/>
  <c r="H165" i="27" s="1"/>
  <c r="I165" i="27" s="1"/>
  <c r="J165" i="27" s="1"/>
  <c r="K165" i="27" s="1"/>
  <c r="E161" i="27"/>
  <c r="F161" i="27" s="1"/>
  <c r="G161" i="27" s="1"/>
  <c r="H161" i="27" s="1"/>
  <c r="I161" i="27" s="1"/>
  <c r="J161" i="27" s="1"/>
  <c r="K161" i="27" s="1"/>
  <c r="E152" i="27"/>
  <c r="F152" i="27" s="1"/>
  <c r="G152" i="27" s="1"/>
  <c r="H152" i="27" s="1"/>
  <c r="I152" i="27" s="1"/>
  <c r="J152" i="27" s="1"/>
  <c r="K152" i="27" s="1"/>
  <c r="E148" i="27"/>
  <c r="F148" i="27" s="1"/>
  <c r="G148" i="27" s="1"/>
  <c r="H148" i="27" s="1"/>
  <c r="I148" i="27" s="1"/>
  <c r="J148" i="27" s="1"/>
  <c r="K148" i="27" s="1"/>
  <c r="E144" i="27"/>
  <c r="F144" i="27" s="1"/>
  <c r="G144" i="27" s="1"/>
  <c r="H144" i="27" s="1"/>
  <c r="I144" i="27" s="1"/>
  <c r="J144" i="27" s="1"/>
  <c r="K144" i="27" s="1"/>
  <c r="E140" i="27"/>
  <c r="F140" i="27" s="1"/>
  <c r="G140" i="27" s="1"/>
  <c r="H140" i="27" s="1"/>
  <c r="I140" i="27" s="1"/>
  <c r="J140" i="27" s="1"/>
  <c r="K140" i="27" s="1"/>
  <c r="E136" i="27"/>
  <c r="F136" i="27" s="1"/>
  <c r="G136" i="27" s="1"/>
  <c r="H136" i="27" s="1"/>
  <c r="I136" i="27" s="1"/>
  <c r="J136" i="27" s="1"/>
  <c r="E132" i="27"/>
  <c r="F132" i="27" s="1"/>
  <c r="G132" i="27" s="1"/>
  <c r="H132" i="27" s="1"/>
  <c r="I132" i="27" s="1"/>
  <c r="J132" i="27" s="1"/>
  <c r="K132" i="27" s="1"/>
  <c r="E214" i="27"/>
  <c r="F214" i="27" s="1"/>
  <c r="G214" i="27" s="1"/>
  <c r="H214" i="27" s="1"/>
  <c r="I214" i="27" s="1"/>
  <c r="J214" i="27" s="1"/>
  <c r="K214" i="27" s="1"/>
  <c r="E210" i="27"/>
  <c r="F210" i="27" s="1"/>
  <c r="G210" i="27" s="1"/>
  <c r="H210" i="27" s="1"/>
  <c r="I210" i="27" s="1"/>
  <c r="J210" i="27" s="1"/>
  <c r="K210" i="27" s="1"/>
  <c r="E186" i="27"/>
  <c r="F186" i="27" s="1"/>
  <c r="G186" i="27" s="1"/>
  <c r="H186" i="27" s="1"/>
  <c r="I186" i="27" s="1"/>
  <c r="J186" i="27" s="1"/>
  <c r="K186" i="27" s="1"/>
  <c r="E182" i="27"/>
  <c r="F182" i="27" s="1"/>
  <c r="G182" i="27" s="1"/>
  <c r="H182" i="27" s="1"/>
  <c r="I182" i="27" s="1"/>
  <c r="J182" i="27" s="1"/>
  <c r="K182" i="27" s="1"/>
  <c r="E166" i="27"/>
  <c r="F166" i="27" s="1"/>
  <c r="G166" i="27" s="1"/>
  <c r="H166" i="27" s="1"/>
  <c r="I166" i="27" s="1"/>
  <c r="J166" i="27" s="1"/>
  <c r="K166" i="27" s="1"/>
  <c r="E162" i="27"/>
  <c r="F162" i="27" s="1"/>
  <c r="G162" i="27" s="1"/>
  <c r="H162" i="27" s="1"/>
  <c r="I162" i="27" s="1"/>
  <c r="J162" i="27" s="1"/>
  <c r="K162" i="27" s="1"/>
  <c r="E158" i="27"/>
  <c r="F158" i="27" s="1"/>
  <c r="G158" i="27" s="1"/>
  <c r="H158" i="27" s="1"/>
  <c r="I158" i="27" s="1"/>
  <c r="J158" i="27" s="1"/>
  <c r="K158" i="27" s="1"/>
  <c r="E153" i="27"/>
  <c r="F153" i="27" s="1"/>
  <c r="G153" i="27" s="1"/>
  <c r="H153" i="27" s="1"/>
  <c r="I153" i="27" s="1"/>
  <c r="J153" i="27" s="1"/>
  <c r="K153" i="27" s="1"/>
  <c r="E145" i="27"/>
  <c r="F145" i="27" s="1"/>
  <c r="G145" i="27" s="1"/>
  <c r="H145" i="27" s="1"/>
  <c r="I145" i="27" s="1"/>
  <c r="J145" i="27" s="1"/>
  <c r="K145" i="27" s="1"/>
  <c r="E141" i="27"/>
  <c r="F141" i="27" s="1"/>
  <c r="G141" i="27" s="1"/>
  <c r="H141" i="27" s="1"/>
  <c r="I141" i="27" s="1"/>
  <c r="J141" i="27" s="1"/>
  <c r="E194" i="27"/>
  <c r="F194" i="27" s="1"/>
  <c r="G194" i="27" s="1"/>
  <c r="H194" i="27" s="1"/>
  <c r="I194" i="27" s="1"/>
  <c r="J194" i="27" s="1"/>
  <c r="E138" i="27"/>
  <c r="F138" i="27" s="1"/>
  <c r="G138" i="27" s="1"/>
  <c r="H138" i="27" s="1"/>
  <c r="I138" i="27" s="1"/>
  <c r="J138" i="27" s="1"/>
  <c r="K138" i="27" s="1"/>
  <c r="E130" i="27"/>
  <c r="F130" i="27" s="1"/>
  <c r="G130" i="27" s="1"/>
  <c r="H130" i="27" s="1"/>
  <c r="I130" i="27" s="1"/>
  <c r="J130" i="27" s="1"/>
  <c r="K130" i="27" s="1"/>
  <c r="E126" i="27"/>
  <c r="F126" i="27" s="1"/>
  <c r="G126" i="27" s="1"/>
  <c r="H126" i="27" s="1"/>
  <c r="I126" i="27" s="1"/>
  <c r="J126" i="27" s="1"/>
  <c r="K126" i="27" s="1"/>
  <c r="E122" i="27"/>
  <c r="F122" i="27" s="1"/>
  <c r="G122" i="27" s="1"/>
  <c r="H122" i="27" s="1"/>
  <c r="I122" i="27" s="1"/>
  <c r="J122" i="27" s="1"/>
  <c r="K122" i="27" s="1"/>
  <c r="E118" i="27"/>
  <c r="F118" i="27" s="1"/>
  <c r="G118" i="27" s="1"/>
  <c r="H118" i="27" s="1"/>
  <c r="I118" i="27" s="1"/>
  <c r="J118" i="27" s="1"/>
  <c r="K118" i="27" s="1"/>
  <c r="E109" i="27"/>
  <c r="F109" i="27" s="1"/>
  <c r="G109" i="27" s="1"/>
  <c r="H109" i="27" s="1"/>
  <c r="I109" i="27" s="1"/>
  <c r="J109" i="27" s="1"/>
  <c r="K109" i="27" s="1"/>
  <c r="E105" i="27"/>
  <c r="F105" i="27" s="1"/>
  <c r="G105" i="27" s="1"/>
  <c r="H105" i="27" s="1"/>
  <c r="I105" i="27" s="1"/>
  <c r="J105" i="27" s="1"/>
  <c r="K105" i="27" s="1"/>
  <c r="E101" i="27"/>
  <c r="F101" i="27" s="1"/>
  <c r="G101" i="27" s="1"/>
  <c r="H101" i="27" s="1"/>
  <c r="I101" i="27" s="1"/>
  <c r="J101" i="27" s="1"/>
  <c r="K101" i="27" s="1"/>
  <c r="E97" i="27"/>
  <c r="F97" i="27" s="1"/>
  <c r="G97" i="27" s="1"/>
  <c r="H97" i="27" s="1"/>
  <c r="I97" i="27" s="1"/>
  <c r="J97" i="27" s="1"/>
  <c r="K97" i="27" s="1"/>
  <c r="E93" i="27"/>
  <c r="F93" i="27" s="1"/>
  <c r="G93" i="27" s="1"/>
  <c r="H93" i="27" s="1"/>
  <c r="I93" i="27" s="1"/>
  <c r="J93" i="27" s="1"/>
  <c r="K93" i="27" s="1"/>
  <c r="E89" i="27"/>
  <c r="F89" i="27" s="1"/>
  <c r="G89" i="27" s="1"/>
  <c r="H89" i="27" s="1"/>
  <c r="I89" i="27" s="1"/>
  <c r="J89" i="27" s="1"/>
  <c r="K89" i="27" s="1"/>
  <c r="E80" i="27"/>
  <c r="F80" i="27" s="1"/>
  <c r="G80" i="27" s="1"/>
  <c r="H80" i="27" s="1"/>
  <c r="I80" i="27" s="1"/>
  <c r="J80" i="27" s="1"/>
  <c r="K80" i="27" s="1"/>
  <c r="E76" i="27"/>
  <c r="F76" i="27" s="1"/>
  <c r="G76" i="27" s="1"/>
  <c r="H76" i="27" s="1"/>
  <c r="I76" i="27" s="1"/>
  <c r="J76" i="27" s="1"/>
  <c r="K76" i="27" s="1"/>
  <c r="E150" i="27"/>
  <c r="F150" i="27" s="1"/>
  <c r="G150" i="27" s="1"/>
  <c r="H150" i="27" s="1"/>
  <c r="I150" i="27" s="1"/>
  <c r="J150" i="27" s="1"/>
  <c r="K150" i="27" s="1"/>
  <c r="E146" i="27"/>
  <c r="F146" i="27" s="1"/>
  <c r="G146" i="27" s="1"/>
  <c r="H146" i="27" s="1"/>
  <c r="I146" i="27" s="1"/>
  <c r="J146" i="27" s="1"/>
  <c r="K146" i="27" s="1"/>
  <c r="E131" i="27"/>
  <c r="F131" i="27" s="1"/>
  <c r="G131" i="27" s="1"/>
  <c r="H131" i="27" s="1"/>
  <c r="I131" i="27" s="1"/>
  <c r="J131" i="27" s="1"/>
  <c r="K131" i="27" s="1"/>
  <c r="E127" i="27"/>
  <c r="F127" i="27" s="1"/>
  <c r="G127" i="27" s="1"/>
  <c r="H127" i="27" s="1"/>
  <c r="I127" i="27" s="1"/>
  <c r="J127" i="27" s="1"/>
  <c r="K127" i="27" s="1"/>
  <c r="E123" i="27"/>
  <c r="F123" i="27" s="1"/>
  <c r="G123" i="27" s="1"/>
  <c r="H123" i="27" s="1"/>
  <c r="I123" i="27" s="1"/>
  <c r="J123" i="27" s="1"/>
  <c r="K123" i="27" s="1"/>
  <c r="E119" i="27"/>
  <c r="F119" i="27" s="1"/>
  <c r="G119" i="27" s="1"/>
  <c r="H119" i="27" s="1"/>
  <c r="I119" i="27" s="1"/>
  <c r="J119" i="27" s="1"/>
  <c r="K119" i="27" s="1"/>
  <c r="E115" i="27"/>
  <c r="F115" i="27" s="1"/>
  <c r="G115" i="27" s="1"/>
  <c r="H115" i="27" s="1"/>
  <c r="I115" i="27" s="1"/>
  <c r="J115" i="27" s="1"/>
  <c r="K115" i="27" s="1"/>
  <c r="E110" i="27"/>
  <c r="F110" i="27" s="1"/>
  <c r="G110" i="27" s="1"/>
  <c r="H110" i="27" s="1"/>
  <c r="I110" i="27" s="1"/>
  <c r="J110" i="27" s="1"/>
  <c r="K110" i="27" s="1"/>
  <c r="E106" i="27"/>
  <c r="F106" i="27" s="1"/>
  <c r="G106" i="27" s="1"/>
  <c r="H106" i="27" s="1"/>
  <c r="I106" i="27" s="1"/>
  <c r="J106" i="27" s="1"/>
  <c r="K106" i="27" s="1"/>
  <c r="E102" i="27"/>
  <c r="F102" i="27" s="1"/>
  <c r="G102" i="27" s="1"/>
  <c r="H102" i="27" s="1"/>
  <c r="I102" i="27" s="1"/>
  <c r="J102" i="27" s="1"/>
  <c r="K102" i="27" s="1"/>
  <c r="E98" i="27"/>
  <c r="F98" i="27" s="1"/>
  <c r="G98" i="27" s="1"/>
  <c r="H98" i="27" s="1"/>
  <c r="I98" i="27" s="1"/>
  <c r="J98" i="27" s="1"/>
  <c r="K98" i="27" s="1"/>
  <c r="E94" i="27"/>
  <c r="F94" i="27" s="1"/>
  <c r="G94" i="27" s="1"/>
  <c r="H94" i="27" s="1"/>
  <c r="I94" i="27" s="1"/>
  <c r="J94" i="27" s="1"/>
  <c r="K94" i="27" s="1"/>
  <c r="E90" i="27"/>
  <c r="F90" i="27" s="1"/>
  <c r="G90" i="27" s="1"/>
  <c r="H90" i="27" s="1"/>
  <c r="I90" i="27" s="1"/>
  <c r="J90" i="27" s="1"/>
  <c r="K90" i="27" s="1"/>
  <c r="E86" i="27"/>
  <c r="F86" i="27" s="1"/>
  <c r="G86" i="27" s="1"/>
  <c r="H86" i="27" s="1"/>
  <c r="I86" i="27" s="1"/>
  <c r="J86" i="27" s="1"/>
  <c r="K86" i="27" s="1"/>
  <c r="E81" i="27"/>
  <c r="F81" i="27" s="1"/>
  <c r="G81" i="27" s="1"/>
  <c r="H81" i="27" s="1"/>
  <c r="I81" i="27" s="1"/>
  <c r="J81" i="27" s="1"/>
  <c r="K81" i="27" s="1"/>
  <c r="E73" i="27"/>
  <c r="F73" i="27" s="1"/>
  <c r="G73" i="27" s="1"/>
  <c r="H73" i="27" s="1"/>
  <c r="I73" i="27" s="1"/>
  <c r="J73" i="27" s="1"/>
  <c r="K73" i="27" s="1"/>
  <c r="E190" i="27"/>
  <c r="F190" i="27" s="1"/>
  <c r="G190" i="27" s="1"/>
  <c r="H190" i="27" s="1"/>
  <c r="I190" i="27" s="1"/>
  <c r="J190" i="27" s="1"/>
  <c r="K190" i="27" s="1"/>
  <c r="E133" i="27"/>
  <c r="F133" i="27" s="1"/>
  <c r="G133" i="27" s="1"/>
  <c r="H133" i="27" s="1"/>
  <c r="I133" i="27" s="1"/>
  <c r="J133" i="27" s="1"/>
  <c r="K133" i="27" s="1"/>
  <c r="E120" i="27"/>
  <c r="F120" i="27" s="1"/>
  <c r="G120" i="27" s="1"/>
  <c r="H120" i="27" s="1"/>
  <c r="I120" i="27" s="1"/>
  <c r="J120" i="27" s="1"/>
  <c r="K120" i="27" s="1"/>
  <c r="E116" i="27"/>
  <c r="F116" i="27" s="1"/>
  <c r="G116" i="27" s="1"/>
  <c r="H116" i="27" s="1"/>
  <c r="I116" i="27" s="1"/>
  <c r="J116" i="27" s="1"/>
  <c r="K116" i="27" s="1"/>
  <c r="E107" i="27"/>
  <c r="F107" i="27" s="1"/>
  <c r="G107" i="27" s="1"/>
  <c r="H107" i="27" s="1"/>
  <c r="I107" i="27" s="1"/>
  <c r="J107" i="27" s="1"/>
  <c r="K107" i="27" s="1"/>
  <c r="E103" i="27"/>
  <c r="F103" i="27" s="1"/>
  <c r="G103" i="27" s="1"/>
  <c r="H103" i="27" s="1"/>
  <c r="I103" i="27" s="1"/>
  <c r="J103" i="27" s="1"/>
  <c r="K103" i="27" s="1"/>
  <c r="E95" i="27"/>
  <c r="F95" i="27" s="1"/>
  <c r="G95" i="27" s="1"/>
  <c r="H95" i="27" s="1"/>
  <c r="I95" i="27" s="1"/>
  <c r="J95" i="27" s="1"/>
  <c r="K95" i="27" s="1"/>
  <c r="E173" i="27"/>
  <c r="F173" i="27" s="1"/>
  <c r="G173" i="27" s="1"/>
  <c r="H173" i="27" s="1"/>
  <c r="I173" i="27" s="1"/>
  <c r="J173" i="27" s="1"/>
  <c r="K173" i="27" s="1"/>
  <c r="E163" i="27"/>
  <c r="F163" i="27" s="1"/>
  <c r="G163" i="27" s="1"/>
  <c r="H163" i="27" s="1"/>
  <c r="I163" i="27" s="1"/>
  <c r="J163" i="27" s="1"/>
  <c r="K163" i="27" s="1"/>
  <c r="E159" i="27"/>
  <c r="F159" i="27" s="1"/>
  <c r="G159" i="27" s="1"/>
  <c r="H159" i="27" s="1"/>
  <c r="I159" i="27" s="1"/>
  <c r="J159" i="27" s="1"/>
  <c r="K159" i="27" s="1"/>
  <c r="E137" i="27"/>
  <c r="F137" i="27" s="1"/>
  <c r="G137" i="27" s="1"/>
  <c r="H137" i="27" s="1"/>
  <c r="I137" i="27" s="1"/>
  <c r="J137" i="27" s="1"/>
  <c r="E134" i="27"/>
  <c r="F134" i="27" s="1"/>
  <c r="G134" i="27" s="1"/>
  <c r="H134" i="27" s="1"/>
  <c r="I134" i="27" s="1"/>
  <c r="J134" i="27" s="1"/>
  <c r="K134" i="27" s="1"/>
  <c r="E108" i="27"/>
  <c r="F108" i="27" s="1"/>
  <c r="G108" i="27" s="1"/>
  <c r="H108" i="27" s="1"/>
  <c r="I108" i="27" s="1"/>
  <c r="J108" i="27" s="1"/>
  <c r="K108" i="27" s="1"/>
  <c r="E79" i="27"/>
  <c r="F79" i="27" s="1"/>
  <c r="G79" i="27" s="1"/>
  <c r="H79" i="27" s="1"/>
  <c r="I79" i="27" s="1"/>
  <c r="J79" i="27" s="1"/>
  <c r="K79" i="27" s="1"/>
  <c r="E66" i="27"/>
  <c r="F66" i="27" s="1"/>
  <c r="G66" i="27" s="1"/>
  <c r="H66" i="27" s="1"/>
  <c r="I66" i="27" s="1"/>
  <c r="J66" i="27" s="1"/>
  <c r="K66" i="27" s="1"/>
  <c r="E62" i="27"/>
  <c r="F62" i="27" s="1"/>
  <c r="G62" i="27" s="1"/>
  <c r="H62" i="27" s="1"/>
  <c r="I62" i="27" s="1"/>
  <c r="J62" i="27" s="1"/>
  <c r="K62" i="27" s="1"/>
  <c r="E58" i="27"/>
  <c r="F58" i="27" s="1"/>
  <c r="G58" i="27" s="1"/>
  <c r="H58" i="27" s="1"/>
  <c r="I58" i="27" s="1"/>
  <c r="J58" i="27" s="1"/>
  <c r="K58" i="27" s="1"/>
  <c r="E54" i="27"/>
  <c r="F54" i="27" s="1"/>
  <c r="G54" i="27" s="1"/>
  <c r="H54" i="27" s="1"/>
  <c r="I54" i="27" s="1"/>
  <c r="J54" i="27" s="1"/>
  <c r="K54" i="27" s="1"/>
  <c r="E50" i="27"/>
  <c r="F50" i="27" s="1"/>
  <c r="G50" i="27" s="1"/>
  <c r="H50" i="27" s="1"/>
  <c r="I50" i="27" s="1"/>
  <c r="J50" i="27" s="1"/>
  <c r="K50" i="27" s="1"/>
  <c r="E46" i="27"/>
  <c r="F46" i="27" s="1"/>
  <c r="G46" i="27" s="1"/>
  <c r="H46" i="27" s="1"/>
  <c r="I46" i="27" s="1"/>
  <c r="J46" i="27" s="1"/>
  <c r="K46" i="27" s="1"/>
  <c r="E38" i="27"/>
  <c r="F38" i="27" s="1"/>
  <c r="G38" i="27" s="1"/>
  <c r="H38" i="27" s="1"/>
  <c r="I38" i="27" s="1"/>
  <c r="J38" i="27" s="1"/>
  <c r="K38" i="27" s="1"/>
  <c r="E34" i="27"/>
  <c r="F34" i="27" s="1"/>
  <c r="G34" i="27" s="1"/>
  <c r="H34" i="27" s="1"/>
  <c r="I34" i="27" s="1"/>
  <c r="J34" i="27" s="1"/>
  <c r="K34" i="27" s="1"/>
  <c r="E30" i="27"/>
  <c r="F30" i="27" s="1"/>
  <c r="G30" i="27" s="1"/>
  <c r="H30" i="27" s="1"/>
  <c r="I30" i="27" s="1"/>
  <c r="J30" i="27" s="1"/>
  <c r="K30" i="27" s="1"/>
  <c r="E26" i="27"/>
  <c r="F26" i="27" s="1"/>
  <c r="G26" i="27" s="1"/>
  <c r="H26" i="27" s="1"/>
  <c r="I26" i="27" s="1"/>
  <c r="J26" i="27" s="1"/>
  <c r="K26" i="27" s="1"/>
  <c r="E22" i="27"/>
  <c r="F22" i="27" s="1"/>
  <c r="G22" i="27" s="1"/>
  <c r="H22" i="27" s="1"/>
  <c r="I22" i="27" s="1"/>
  <c r="J22" i="27" s="1"/>
  <c r="K22" i="27" s="1"/>
  <c r="E18" i="27"/>
  <c r="F18" i="27" s="1"/>
  <c r="G18" i="27" s="1"/>
  <c r="H18" i="27" s="1"/>
  <c r="I18" i="27" s="1"/>
  <c r="J18" i="27" s="1"/>
  <c r="K18" i="27" s="1"/>
  <c r="E10" i="27"/>
  <c r="F10" i="27" s="1"/>
  <c r="G10" i="27" s="1"/>
  <c r="H10" i="27" s="1"/>
  <c r="I10" i="27" s="1"/>
  <c r="J10" i="27" s="1"/>
  <c r="K10" i="27" s="1"/>
  <c r="E87" i="27"/>
  <c r="F87" i="27" s="1"/>
  <c r="G87" i="27" s="1"/>
  <c r="H87" i="27" s="1"/>
  <c r="I87" i="27" s="1"/>
  <c r="J87" i="27" s="1"/>
  <c r="K87" i="27" s="1"/>
  <c r="E65" i="27"/>
  <c r="F65" i="27" s="1"/>
  <c r="G65" i="27" s="1"/>
  <c r="H65" i="27" s="1"/>
  <c r="I65" i="27" s="1"/>
  <c r="J65" i="27" s="1"/>
  <c r="K65" i="27" s="1"/>
  <c r="E113" i="27"/>
  <c r="F113" i="27" s="1"/>
  <c r="G113" i="27" s="1"/>
  <c r="H113" i="27" s="1"/>
  <c r="I113" i="27" s="1"/>
  <c r="J113" i="27" s="1"/>
  <c r="K113" i="27" s="1"/>
  <c r="E91" i="27"/>
  <c r="F91" i="27" s="1"/>
  <c r="G91" i="27" s="1"/>
  <c r="H91" i="27" s="1"/>
  <c r="I91" i="27" s="1"/>
  <c r="J91" i="27" s="1"/>
  <c r="K91" i="27" s="1"/>
  <c r="E75" i="27"/>
  <c r="F75" i="27" s="1"/>
  <c r="G75" i="27" s="1"/>
  <c r="H75" i="27" s="1"/>
  <c r="I75" i="27" s="1"/>
  <c r="J75" i="27" s="1"/>
  <c r="K75" i="27" s="1"/>
  <c r="E71" i="27"/>
  <c r="F71" i="27" s="1"/>
  <c r="G71" i="27" s="1"/>
  <c r="H71" i="27" s="1"/>
  <c r="I71" i="27" s="1"/>
  <c r="J71" i="27" s="1"/>
  <c r="K71" i="27" s="1"/>
  <c r="E67" i="27"/>
  <c r="F67" i="27" s="1"/>
  <c r="G67" i="27" s="1"/>
  <c r="H67" i="27" s="1"/>
  <c r="I67" i="27" s="1"/>
  <c r="J67" i="27" s="1"/>
  <c r="K67" i="27" s="1"/>
  <c r="E59" i="27"/>
  <c r="F59" i="27" s="1"/>
  <c r="G59" i="27" s="1"/>
  <c r="H59" i="27" s="1"/>
  <c r="I59" i="27" s="1"/>
  <c r="J59" i="27" s="1"/>
  <c r="K59" i="27" s="1"/>
  <c r="E55" i="27"/>
  <c r="F55" i="27" s="1"/>
  <c r="G55" i="27" s="1"/>
  <c r="H55" i="27" s="1"/>
  <c r="I55" i="27" s="1"/>
  <c r="J55" i="27" s="1"/>
  <c r="K55" i="27" s="1"/>
  <c r="E51" i="27"/>
  <c r="F51" i="27" s="1"/>
  <c r="G51" i="27" s="1"/>
  <c r="H51" i="27" s="1"/>
  <c r="I51" i="27" s="1"/>
  <c r="J51" i="27" s="1"/>
  <c r="K51" i="27" s="1"/>
  <c r="E47" i="27"/>
  <c r="F47" i="27" s="1"/>
  <c r="G47" i="27" s="1"/>
  <c r="H47" i="27" s="1"/>
  <c r="I47" i="27" s="1"/>
  <c r="J47" i="27" s="1"/>
  <c r="K47" i="27" s="1"/>
  <c r="E43" i="27"/>
  <c r="F43" i="27" s="1"/>
  <c r="G43" i="27" s="1"/>
  <c r="H43" i="27" s="1"/>
  <c r="I43" i="27" s="1"/>
  <c r="J43" i="27" s="1"/>
  <c r="K43" i="27" s="1"/>
  <c r="E39" i="27"/>
  <c r="F39" i="27" s="1"/>
  <c r="G39" i="27" s="1"/>
  <c r="H39" i="27" s="1"/>
  <c r="I39" i="27" s="1"/>
  <c r="J39" i="27" s="1"/>
  <c r="K39" i="27" s="1"/>
  <c r="E31" i="27"/>
  <c r="F31" i="27" s="1"/>
  <c r="G31" i="27" s="1"/>
  <c r="H31" i="27" s="1"/>
  <c r="I31" i="27" s="1"/>
  <c r="J31" i="27" s="1"/>
  <c r="K31" i="27" s="1"/>
  <c r="E27" i="27"/>
  <c r="F27" i="27" s="1"/>
  <c r="G27" i="27" s="1"/>
  <c r="H27" i="27" s="1"/>
  <c r="I27" i="27" s="1"/>
  <c r="J27" i="27" s="1"/>
  <c r="E23" i="27"/>
  <c r="F23" i="27" s="1"/>
  <c r="G23" i="27" s="1"/>
  <c r="H23" i="27" s="1"/>
  <c r="I23" i="27" s="1"/>
  <c r="J23" i="27" s="1"/>
  <c r="K23" i="27" s="1"/>
  <c r="E19" i="27"/>
  <c r="F19" i="27" s="1"/>
  <c r="G19" i="27" s="1"/>
  <c r="H19" i="27" s="1"/>
  <c r="I19" i="27" s="1"/>
  <c r="J19" i="27" s="1"/>
  <c r="K19" i="27" s="1"/>
  <c r="E15" i="27"/>
  <c r="F15" i="27" s="1"/>
  <c r="G15" i="27" s="1"/>
  <c r="H15" i="27" s="1"/>
  <c r="I15" i="27" s="1"/>
  <c r="J15" i="27" s="1"/>
  <c r="K15" i="27" s="1"/>
  <c r="E11" i="27"/>
  <c r="F11" i="27" s="1"/>
  <c r="G11" i="27" s="1"/>
  <c r="H11" i="27" s="1"/>
  <c r="I11" i="27" s="1"/>
  <c r="J11" i="27" s="1"/>
  <c r="K11" i="27" s="1"/>
  <c r="E125" i="27"/>
  <c r="F125" i="27" s="1"/>
  <c r="G125" i="27" s="1"/>
  <c r="H125" i="27" s="1"/>
  <c r="I125" i="27" s="1"/>
  <c r="J125" i="27" s="1"/>
  <c r="K125" i="27" s="1"/>
  <c r="E104" i="27"/>
  <c r="F104" i="27" s="1"/>
  <c r="G104" i="27" s="1"/>
  <c r="H104" i="27" s="1"/>
  <c r="I104" i="27" s="1"/>
  <c r="J104" i="27" s="1"/>
  <c r="K104" i="27" s="1"/>
  <c r="E78" i="27"/>
  <c r="F78" i="27" s="1"/>
  <c r="G78" i="27" s="1"/>
  <c r="H78" i="27" s="1"/>
  <c r="I78" i="27" s="1"/>
  <c r="J78" i="27" s="1"/>
  <c r="K78" i="27" s="1"/>
  <c r="E100" i="27"/>
  <c r="F100" i="27" s="1"/>
  <c r="G100" i="27" s="1"/>
  <c r="H100" i="27" s="1"/>
  <c r="I100" i="27" s="1"/>
  <c r="J100" i="27" s="1"/>
  <c r="K100" i="27" s="1"/>
  <c r="E96" i="27"/>
  <c r="F96" i="27" s="1"/>
  <c r="G96" i="27" s="1"/>
  <c r="H96" i="27" s="1"/>
  <c r="I96" i="27" s="1"/>
  <c r="J96" i="27" s="1"/>
  <c r="K96" i="27" s="1"/>
  <c r="E84" i="27"/>
  <c r="F84" i="27" s="1"/>
  <c r="G84" i="27" s="1"/>
  <c r="H84" i="27" s="1"/>
  <c r="I84" i="27" s="1"/>
  <c r="J84" i="27" s="1"/>
  <c r="K84" i="27" s="1"/>
  <c r="E74" i="27"/>
  <c r="F74" i="27" s="1"/>
  <c r="G74" i="27" s="1"/>
  <c r="H74" i="27" s="1"/>
  <c r="I74" i="27" s="1"/>
  <c r="J74" i="27" s="1"/>
  <c r="K74" i="27" s="1"/>
  <c r="E72" i="27"/>
  <c r="F72" i="27" s="1"/>
  <c r="G72" i="27" s="1"/>
  <c r="H72" i="27" s="1"/>
  <c r="I72" i="27" s="1"/>
  <c r="J72" i="27" s="1"/>
  <c r="K72" i="27" s="1"/>
  <c r="E68" i="27"/>
  <c r="F68" i="27" s="1"/>
  <c r="G68" i="27" s="1"/>
  <c r="H68" i="27" s="1"/>
  <c r="I68" i="27" s="1"/>
  <c r="J68" i="27" s="1"/>
  <c r="K68" i="27" s="1"/>
  <c r="E64" i="27"/>
  <c r="F64" i="27" s="1"/>
  <c r="G64" i="27" s="1"/>
  <c r="H64" i="27" s="1"/>
  <c r="I64" i="27" s="1"/>
  <c r="J64" i="27" s="1"/>
  <c r="K64" i="27" s="1"/>
  <c r="E60" i="27"/>
  <c r="F60" i="27" s="1"/>
  <c r="G60" i="27" s="1"/>
  <c r="H60" i="27" s="1"/>
  <c r="I60" i="27" s="1"/>
  <c r="J60" i="27" s="1"/>
  <c r="K60" i="27" s="1"/>
  <c r="E52" i="27"/>
  <c r="F52" i="27" s="1"/>
  <c r="G52" i="27" s="1"/>
  <c r="H52" i="27" s="1"/>
  <c r="I52" i="27" s="1"/>
  <c r="J52" i="27" s="1"/>
  <c r="K52" i="27" s="1"/>
  <c r="E48" i="27"/>
  <c r="F48" i="27" s="1"/>
  <c r="G48" i="27" s="1"/>
  <c r="H48" i="27" s="1"/>
  <c r="I48" i="27" s="1"/>
  <c r="J48" i="27" s="1"/>
  <c r="E44" i="27"/>
  <c r="F44" i="27" s="1"/>
  <c r="G44" i="27" s="1"/>
  <c r="H44" i="27" s="1"/>
  <c r="I44" i="27" s="1"/>
  <c r="J44" i="27" s="1"/>
  <c r="K44" i="27" s="1"/>
  <c r="E40" i="27"/>
  <c r="F40" i="27" s="1"/>
  <c r="G40" i="27" s="1"/>
  <c r="H40" i="27" s="1"/>
  <c r="I40" i="27" s="1"/>
  <c r="J40" i="27" s="1"/>
  <c r="K40" i="27" s="1"/>
  <c r="E36" i="27"/>
  <c r="F36" i="27" s="1"/>
  <c r="G36" i="27" s="1"/>
  <c r="H36" i="27" s="1"/>
  <c r="I36" i="27" s="1"/>
  <c r="J36" i="27" s="1"/>
  <c r="K36" i="27" s="1"/>
  <c r="E32" i="27"/>
  <c r="F32" i="27" s="1"/>
  <c r="G32" i="27" s="1"/>
  <c r="H32" i="27" s="1"/>
  <c r="I32" i="27" s="1"/>
  <c r="J32" i="27" s="1"/>
  <c r="K32" i="27" s="1"/>
  <c r="E24" i="27"/>
  <c r="F24" i="27" s="1"/>
  <c r="G24" i="27" s="1"/>
  <c r="H24" i="27" s="1"/>
  <c r="I24" i="27" s="1"/>
  <c r="J24" i="27" s="1"/>
  <c r="K24" i="27" s="1"/>
  <c r="E20" i="27"/>
  <c r="F20" i="27" s="1"/>
  <c r="G20" i="27" s="1"/>
  <c r="H20" i="27" s="1"/>
  <c r="I20" i="27" s="1"/>
  <c r="J20" i="27" s="1"/>
  <c r="K20" i="27" s="1"/>
  <c r="E16" i="27"/>
  <c r="F16" i="27" s="1"/>
  <c r="G16" i="27" s="1"/>
  <c r="H16" i="27" s="1"/>
  <c r="I16" i="27" s="1"/>
  <c r="J16" i="27" s="1"/>
  <c r="K16" i="27" s="1"/>
  <c r="E12" i="27"/>
  <c r="F12" i="27" s="1"/>
  <c r="G12" i="27" s="1"/>
  <c r="H12" i="27" s="1"/>
  <c r="I12" i="27" s="1"/>
  <c r="J12" i="27" s="1"/>
  <c r="K12" i="27" s="1"/>
  <c r="E129" i="27"/>
  <c r="F129" i="27" s="1"/>
  <c r="G129" i="27" s="1"/>
  <c r="H129" i="27" s="1"/>
  <c r="I129" i="27" s="1"/>
  <c r="J129" i="27" s="1"/>
  <c r="K129" i="27" s="1"/>
  <c r="E69" i="27"/>
  <c r="F69" i="27" s="1"/>
  <c r="G69" i="27" s="1"/>
  <c r="H69" i="27" s="1"/>
  <c r="I69" i="27" s="1"/>
  <c r="J69" i="27" s="1"/>
  <c r="E17" i="27"/>
  <c r="F17" i="27" s="1"/>
  <c r="G17" i="27" s="1"/>
  <c r="H17" i="27" s="1"/>
  <c r="I17" i="27" s="1"/>
  <c r="J17" i="27" s="1"/>
  <c r="K17" i="27" s="1"/>
  <c r="E13" i="27"/>
  <c r="F13" i="27" s="1"/>
  <c r="G13" i="27" s="1"/>
  <c r="H13" i="27" s="1"/>
  <c r="I13" i="27" s="1"/>
  <c r="J13" i="27" s="1"/>
  <c r="K13" i="27" s="1"/>
  <c r="E29" i="27"/>
  <c r="F29" i="27" s="1"/>
  <c r="G29" i="27" s="1"/>
  <c r="H29" i="27" s="1"/>
  <c r="I29" i="27" s="1"/>
  <c r="J29" i="27" s="1"/>
  <c r="K29" i="27" s="1"/>
  <c r="E33" i="27"/>
  <c r="F33" i="27" s="1"/>
  <c r="G33" i="27" s="1"/>
  <c r="H33" i="27" s="1"/>
  <c r="I33" i="27" s="1"/>
  <c r="J33" i="27" s="1"/>
  <c r="K33" i="27" s="1"/>
  <c r="E57" i="27"/>
  <c r="F57" i="27" s="1"/>
  <c r="G57" i="27" s="1"/>
  <c r="H57" i="27" s="1"/>
  <c r="I57" i="27" s="1"/>
  <c r="J57" i="27" s="1"/>
  <c r="K57" i="27" s="1"/>
  <c r="E53" i="27"/>
  <c r="F53" i="27" s="1"/>
  <c r="G53" i="27" s="1"/>
  <c r="H53" i="27" s="1"/>
  <c r="I53" i="27" s="1"/>
  <c r="J53" i="27" s="1"/>
  <c r="K53" i="27" s="1"/>
  <c r="E37" i="27"/>
  <c r="F37" i="27" s="1"/>
  <c r="G37" i="27" s="1"/>
  <c r="H37" i="27" s="1"/>
  <c r="I37" i="27" s="1"/>
  <c r="J37" i="27" s="1"/>
  <c r="E25" i="27"/>
  <c r="F25" i="27" s="1"/>
  <c r="G25" i="27" s="1"/>
  <c r="H25" i="27" s="1"/>
  <c r="I25" i="27" s="1"/>
  <c r="J25" i="27" s="1"/>
  <c r="K25" i="27" s="1"/>
  <c r="E45" i="27"/>
  <c r="F45" i="27" s="1"/>
  <c r="G45" i="27" s="1"/>
  <c r="H45" i="27" s="1"/>
  <c r="I45" i="27" s="1"/>
  <c r="J45" i="27" s="1"/>
  <c r="K45" i="27" s="1"/>
  <c r="E61" i="27"/>
  <c r="F61" i="27" s="1"/>
  <c r="G61" i="27" s="1"/>
  <c r="H61" i="27" s="1"/>
  <c r="I61" i="27" s="1"/>
  <c r="J61" i="27" s="1"/>
  <c r="K61" i="27" s="1"/>
  <c r="E41" i="27"/>
  <c r="F41" i="27" s="1"/>
  <c r="G41" i="27" s="1"/>
  <c r="H41" i="27" s="1"/>
  <c r="I41" i="27" s="1"/>
  <c r="J41" i="27" s="1"/>
  <c r="E9" i="27"/>
  <c r="F9" i="27" s="1"/>
  <c r="G9" i="27" s="1"/>
  <c r="H9" i="27" s="1"/>
  <c r="I9" i="27" s="1"/>
  <c r="J9" i="27" s="1"/>
  <c r="K9" i="27" s="1"/>
  <c r="F26" i="23"/>
  <c r="E9" i="23"/>
  <c r="E26" i="23"/>
  <c r="F19" i="23"/>
  <c r="E45" i="23"/>
  <c r="D18" i="23"/>
  <c r="F44" i="23"/>
  <c r="F413" i="21"/>
  <c r="H407" i="21"/>
  <c r="G394" i="21"/>
  <c r="H387" i="21"/>
  <c r="G370" i="21"/>
  <c r="H363" i="21"/>
  <c r="F345" i="21"/>
  <c r="H331" i="21"/>
  <c r="F414" i="21"/>
  <c r="H408" i="21"/>
  <c r="F394" i="21"/>
  <c r="H376" i="21"/>
  <c r="G371" i="21"/>
  <c r="F366" i="21"/>
  <c r="G359" i="21"/>
  <c r="F354" i="21"/>
  <c r="G335" i="21"/>
  <c r="H328" i="21"/>
  <c r="H320" i="21"/>
  <c r="H308" i="21"/>
  <c r="H300" i="21"/>
  <c r="H405" i="21"/>
  <c r="H389" i="21"/>
  <c r="G384" i="21"/>
  <c r="H377" i="21"/>
  <c r="F359" i="21"/>
  <c r="G352" i="21"/>
  <c r="H345" i="21"/>
  <c r="G328" i="21"/>
  <c r="H321" i="21"/>
  <c r="F303" i="21"/>
  <c r="G296" i="21"/>
  <c r="G413" i="21"/>
  <c r="F408" i="21"/>
  <c r="G401" i="21"/>
  <c r="G389" i="21"/>
  <c r="F384" i="21"/>
  <c r="H378" i="21"/>
  <c r="G373" i="21"/>
  <c r="H366" i="21"/>
  <c r="G345" i="21"/>
  <c r="F320" i="21"/>
  <c r="G301" i="21"/>
  <c r="G293" i="21"/>
  <c r="G257" i="21"/>
  <c r="F252" i="21"/>
  <c r="G245" i="21"/>
  <c r="F240" i="21"/>
  <c r="G233" i="21"/>
  <c r="H226" i="21"/>
  <c r="H218" i="21"/>
  <c r="G205" i="21"/>
  <c r="F200" i="21"/>
  <c r="G177" i="21"/>
  <c r="H170" i="21"/>
  <c r="F285" i="21"/>
  <c r="H279" i="21"/>
  <c r="F273" i="21"/>
  <c r="F257" i="21"/>
  <c r="H251" i="21"/>
  <c r="F245" i="21"/>
  <c r="F233" i="21"/>
  <c r="G222" i="21"/>
  <c r="H203" i="21"/>
  <c r="H183" i="21"/>
  <c r="F294" i="21"/>
  <c r="G275" i="21"/>
  <c r="H268" i="21"/>
  <c r="G251" i="21"/>
  <c r="H244" i="21"/>
  <c r="F230" i="21"/>
  <c r="G223" i="21"/>
  <c r="H216" i="21"/>
  <c r="G211" i="21"/>
  <c r="H200" i="21"/>
  <c r="F194" i="21"/>
  <c r="G187" i="21"/>
  <c r="G288" i="21"/>
  <c r="H265" i="21"/>
  <c r="E11" i="23"/>
  <c r="E44" i="23"/>
  <c r="E54" i="23"/>
  <c r="D11" i="23"/>
  <c r="D20" i="23"/>
  <c r="E20" i="23"/>
  <c r="D44" i="23"/>
  <c r="D9" i="23"/>
  <c r="D26" i="23"/>
  <c r="E7" i="23"/>
  <c r="F18" i="23"/>
  <c r="E23" i="23"/>
  <c r="G406" i="21"/>
  <c r="F401" i="21"/>
  <c r="H391" i="21"/>
  <c r="G362" i="21"/>
  <c r="H355" i="21"/>
  <c r="F349" i="21"/>
  <c r="H343" i="21"/>
  <c r="G338" i="21"/>
  <c r="H323" i="21"/>
  <c r="F317" i="21"/>
  <c r="G310" i="21"/>
  <c r="H412" i="21"/>
  <c r="G407" i="21"/>
  <c r="H400" i="21"/>
  <c r="H392" i="21"/>
  <c r="G387" i="21"/>
  <c r="F370" i="21"/>
  <c r="G363" i="21"/>
  <c r="H352" i="21"/>
  <c r="H344" i="21"/>
  <c r="G319" i="21"/>
  <c r="H312" i="21"/>
  <c r="G307" i="21"/>
  <c r="F415" i="21"/>
  <c r="F403" i="21"/>
  <c r="G376" i="21"/>
  <c r="F371" i="21"/>
  <c r="F363" i="21"/>
  <c r="G344" i="21"/>
  <c r="G320" i="21"/>
  <c r="H313" i="21"/>
  <c r="G308" i="21"/>
  <c r="H301" i="21"/>
  <c r="F412" i="21"/>
  <c r="H406" i="21"/>
  <c r="F400" i="21"/>
  <c r="H394" i="21"/>
  <c r="G377" i="21"/>
  <c r="F352" i="21"/>
  <c r="F344" i="21"/>
  <c r="H338" i="21"/>
  <c r="G313" i="21"/>
  <c r="F308" i="21"/>
  <c r="F300" i="21"/>
  <c r="G285" i="21"/>
  <c r="G273" i="21"/>
  <c r="F268" i="21"/>
  <c r="G261" i="21"/>
  <c r="F244" i="21"/>
  <c r="H230" i="21"/>
  <c r="F216" i="21"/>
  <c r="H198" i="21"/>
  <c r="H190" i="21"/>
  <c r="F184" i="21"/>
  <c r="H162" i="21"/>
  <c r="G266" i="21"/>
  <c r="F261" i="21"/>
  <c r="F237" i="21"/>
  <c r="H231" i="21"/>
  <c r="G226" i="21"/>
  <c r="H207" i="21"/>
  <c r="G194" i="21"/>
  <c r="H187" i="21"/>
  <c r="H284" i="21"/>
  <c r="G279" i="21"/>
  <c r="H272" i="21"/>
  <c r="F222" i="21"/>
  <c r="F198" i="21"/>
  <c r="F186" i="21"/>
  <c r="H180" i="21"/>
  <c r="H172" i="21"/>
  <c r="F166" i="21"/>
  <c r="H293" i="21"/>
  <c r="H285" i="21"/>
  <c r="D7" i="23"/>
  <c r="D23" i="23"/>
  <c r="D53" i="23"/>
  <c r="F54" i="23"/>
  <c r="D19" i="23"/>
  <c r="E19" i="23"/>
  <c r="F23" i="23"/>
  <c r="F53" i="23"/>
  <c r="D6" i="23"/>
  <c r="E18" i="23"/>
  <c r="H415" i="21"/>
  <c r="F405" i="21"/>
  <c r="G398" i="21"/>
  <c r="G390" i="21"/>
  <c r="G378" i="21"/>
  <c r="F373" i="21"/>
  <c r="G366" i="21"/>
  <c r="F361" i="21"/>
  <c r="G354" i="21"/>
  <c r="G342" i="21"/>
  <c r="H335" i="21"/>
  <c r="F329" i="21"/>
  <c r="F321" i="21"/>
  <c r="H303" i="21"/>
  <c r="F406" i="21"/>
  <c r="F398" i="21"/>
  <c r="G391" i="21"/>
  <c r="H380" i="21"/>
  <c r="F362" i="21"/>
  <c r="G343" i="21"/>
  <c r="F338" i="21"/>
  <c r="G331" i="21"/>
  <c r="H324" i="21"/>
  <c r="H296" i="21"/>
  <c r="H413" i="21"/>
  <c r="G408" i="21"/>
  <c r="H401" i="21"/>
  <c r="G392" i="21"/>
  <c r="F387" i="21"/>
  <c r="H361" i="21"/>
  <c r="F355" i="21"/>
  <c r="H349" i="21"/>
  <c r="F343" i="21"/>
  <c r="F331" i="21"/>
  <c r="G324" i="21"/>
  <c r="F319" i="21"/>
  <c r="G312" i="21"/>
  <c r="F307" i="21"/>
  <c r="G300" i="21"/>
  <c r="G405" i="21"/>
  <c r="H398" i="21"/>
  <c r="F392" i="21"/>
  <c r="F376" i="21"/>
  <c r="H370" i="21"/>
  <c r="H362" i="21"/>
  <c r="G349" i="21"/>
  <c r="H342" i="21"/>
  <c r="G329" i="21"/>
  <c r="F324" i="21"/>
  <c r="G317" i="21"/>
  <c r="F312" i="21"/>
  <c r="G289" i="21"/>
  <c r="F284" i="21"/>
  <c r="F272" i="21"/>
  <c r="H266" i="21"/>
  <c r="H254" i="21"/>
  <c r="G237" i="21"/>
  <c r="H222" i="21"/>
  <c r="F208" i="21"/>
  <c r="G173" i="21"/>
  <c r="G294" i="21"/>
  <c r="F289" i="21"/>
  <c r="G282" i="21"/>
  <c r="F265" i="21"/>
  <c r="G254" i="21"/>
  <c r="G230" i="21"/>
  <c r="H219" i="21"/>
  <c r="H211" i="21"/>
  <c r="F201" i="21"/>
  <c r="H191" i="21"/>
  <c r="G186" i="21"/>
  <c r="F266" i="21"/>
  <c r="F254" i="21"/>
  <c r="G219" i="21"/>
  <c r="H208" i="21"/>
  <c r="G203" i="21"/>
  <c r="G191" i="21"/>
  <c r="H184" i="21"/>
  <c r="F170" i="21"/>
  <c r="G163" i="21"/>
  <c r="G284" i="21"/>
  <c r="F279" i="21"/>
  <c r="H273" i="21"/>
  <c r="G268" i="21"/>
  <c r="H261" i="21"/>
  <c r="F251" i="21"/>
  <c r="H245" i="21"/>
  <c r="D10" i="23"/>
  <c r="D54" i="23"/>
  <c r="F20" i="23"/>
  <c r="F45" i="23"/>
  <c r="E53" i="23"/>
  <c r="E6" i="23"/>
  <c r="D45" i="23"/>
  <c r="G414" i="21"/>
  <c r="H403" i="21"/>
  <c r="F389" i="21"/>
  <c r="F377" i="21"/>
  <c r="H371" i="21"/>
  <c r="H359" i="21"/>
  <c r="H319" i="21"/>
  <c r="F313" i="21"/>
  <c r="H307" i="21"/>
  <c r="F301" i="21"/>
  <c r="G415" i="21"/>
  <c r="G403" i="21"/>
  <c r="F390" i="21"/>
  <c r="H384" i="21"/>
  <c r="F378" i="21"/>
  <c r="G355" i="21"/>
  <c r="F342" i="21"/>
  <c r="G323" i="21"/>
  <c r="F310" i="21"/>
  <c r="G303" i="21"/>
  <c r="G412" i="21"/>
  <c r="F407" i="21"/>
  <c r="G400" i="21"/>
  <c r="F391" i="21"/>
  <c r="G380" i="21"/>
  <c r="H373" i="21"/>
  <c r="F335" i="21"/>
  <c r="H329" i="21"/>
  <c r="F323" i="21"/>
  <c r="H317" i="21"/>
  <c r="H414" i="21"/>
  <c r="H390" i="21"/>
  <c r="F380" i="21"/>
  <c r="G361" i="21"/>
  <c r="H354" i="21"/>
  <c r="F328" i="21"/>
  <c r="G321" i="21"/>
  <c r="H310" i="21"/>
  <c r="H294" i="21"/>
  <c r="F288" i="21"/>
  <c r="H282" i="21"/>
  <c r="G265" i="21"/>
  <c r="H258" i="21"/>
  <c r="G201" i="21"/>
  <c r="H194" i="21"/>
  <c r="H186" i="21"/>
  <c r="F180" i="21"/>
  <c r="F172" i="21"/>
  <c r="H166" i="21"/>
  <c r="F293" i="21"/>
  <c r="H275" i="21"/>
  <c r="G258" i="21"/>
  <c r="H247" i="21"/>
  <c r="H223" i="21"/>
  <c r="G218" i="21"/>
  <c r="F205" i="21"/>
  <c r="G198" i="21"/>
  <c r="G190" i="21"/>
  <c r="F296" i="21"/>
  <c r="H288" i="21"/>
  <c r="F282" i="21"/>
  <c r="F258" i="21"/>
  <c r="H252" i="21"/>
  <c r="G247" i="21"/>
  <c r="H240" i="21"/>
  <c r="G231" i="21"/>
  <c r="F226" i="21"/>
  <c r="F218" i="21"/>
  <c r="G207" i="21"/>
  <c r="F190" i="21"/>
  <c r="G183" i="21"/>
  <c r="G175" i="21"/>
  <c r="F162" i="21"/>
  <c r="H289" i="21"/>
  <c r="F247" i="21"/>
  <c r="G240" i="21"/>
  <c r="F231" i="21"/>
  <c r="G216" i="21"/>
  <c r="F183" i="21"/>
  <c r="H175" i="21"/>
  <c r="G147" i="21"/>
  <c r="F130" i="21"/>
  <c r="H124" i="21"/>
  <c r="H96" i="21"/>
  <c r="F82" i="21"/>
  <c r="H72" i="21"/>
  <c r="G67" i="21"/>
  <c r="G23" i="21"/>
  <c r="F18" i="21"/>
  <c r="H8" i="21"/>
  <c r="G159" i="21"/>
  <c r="G152" i="21"/>
  <c r="H145" i="21"/>
  <c r="F135" i="21"/>
  <c r="G128" i="21"/>
  <c r="F123" i="21"/>
  <c r="H117" i="21"/>
  <c r="G112" i="21"/>
  <c r="H105" i="21"/>
  <c r="F99" i="21"/>
  <c r="H77" i="21"/>
  <c r="H65" i="21"/>
  <c r="F120" i="21"/>
  <c r="G93" i="21"/>
  <c r="H86" i="21"/>
  <c r="G81" i="21"/>
  <c r="F72" i="21"/>
  <c r="G65" i="21"/>
  <c r="H58" i="21"/>
  <c r="G53" i="21"/>
  <c r="G29" i="21"/>
  <c r="H177" i="21"/>
  <c r="G162" i="21"/>
  <c r="G154" i="21"/>
  <c r="H147" i="21"/>
  <c r="G138" i="21"/>
  <c r="G130" i="21"/>
  <c r="H123" i="21"/>
  <c r="F93" i="21"/>
  <c r="G86" i="21"/>
  <c r="F81" i="21"/>
  <c r="H75" i="21"/>
  <c r="F57" i="21"/>
  <c r="G50" i="21"/>
  <c r="F29" i="21"/>
  <c r="F16" i="21"/>
  <c r="H19" i="21"/>
  <c r="H9" i="21"/>
  <c r="F19" i="21"/>
  <c r="G30" i="21"/>
  <c r="G18" i="21"/>
  <c r="F12" i="21"/>
  <c r="G9" i="21"/>
  <c r="F33" i="21"/>
  <c r="F275" i="21"/>
  <c r="H257" i="21"/>
  <c r="G252" i="21"/>
  <c r="G244" i="21"/>
  <c r="H237" i="21"/>
  <c r="F223" i="21"/>
  <c r="G208" i="21"/>
  <c r="F203" i="21"/>
  <c r="F187" i="21"/>
  <c r="G180" i="21"/>
  <c r="F173" i="21"/>
  <c r="H159" i="21"/>
  <c r="F154" i="21"/>
  <c r="F142" i="21"/>
  <c r="G135" i="21"/>
  <c r="H128" i="21"/>
  <c r="G123" i="21"/>
  <c r="H112" i="21"/>
  <c r="H100" i="21"/>
  <c r="G95" i="21"/>
  <c r="F86" i="21"/>
  <c r="G63" i="21"/>
  <c r="F58" i="21"/>
  <c r="G51" i="21"/>
  <c r="H44" i="21"/>
  <c r="F30" i="21"/>
  <c r="H16" i="21"/>
  <c r="F175" i="21"/>
  <c r="H141" i="21"/>
  <c r="H121" i="21"/>
  <c r="G96" i="21"/>
  <c r="H89" i="21"/>
  <c r="F75" i="21"/>
  <c r="F63" i="21"/>
  <c r="H57" i="21"/>
  <c r="F51" i="21"/>
  <c r="G44" i="21"/>
  <c r="H37" i="21"/>
  <c r="H29" i="21"/>
  <c r="F163" i="21"/>
  <c r="H154" i="21"/>
  <c r="G145" i="21"/>
  <c r="H138" i="21"/>
  <c r="H130" i="21"/>
  <c r="F124" i="21"/>
  <c r="F100" i="21"/>
  <c r="G85" i="21"/>
  <c r="G57" i="21"/>
  <c r="F40" i="21"/>
  <c r="G33" i="21"/>
  <c r="H173" i="21"/>
  <c r="F145" i="21"/>
  <c r="H135" i="21"/>
  <c r="F117" i="21"/>
  <c r="H99" i="21"/>
  <c r="F85" i="21"/>
  <c r="H67" i="21"/>
  <c r="F61" i="21"/>
  <c r="G54" i="21"/>
  <c r="G42" i="21"/>
  <c r="F37" i="21"/>
  <c r="F23" i="21"/>
  <c r="H14" i="21"/>
  <c r="F8" i="21"/>
  <c r="F9" i="21"/>
  <c r="G16" i="21"/>
  <c r="H23" i="21"/>
  <c r="G12" i="21"/>
  <c r="G272" i="21"/>
  <c r="F207" i="21"/>
  <c r="H201" i="21"/>
  <c r="H152" i="21"/>
  <c r="G99" i="21"/>
  <c r="F50" i="21"/>
  <c r="F42" i="21"/>
  <c r="G35" i="21"/>
  <c r="F14" i="21"/>
  <c r="G172" i="21"/>
  <c r="H163" i="21"/>
  <c r="G120" i="21"/>
  <c r="F103" i="21"/>
  <c r="F95" i="21"/>
  <c r="H81" i="21"/>
  <c r="G68" i="21"/>
  <c r="H61" i="21"/>
  <c r="F35" i="21"/>
  <c r="H142" i="21"/>
  <c r="F128" i="21"/>
  <c r="G117" i="21"/>
  <c r="F112" i="21"/>
  <c r="G105" i="21"/>
  <c r="G89" i="21"/>
  <c r="G77" i="21"/>
  <c r="G61" i="21"/>
  <c r="H50" i="21"/>
  <c r="F44" i="21"/>
  <c r="H26" i="21"/>
  <c r="G142" i="21"/>
  <c r="G126" i="21"/>
  <c r="F121" i="21"/>
  <c r="G110" i="21"/>
  <c r="F105" i="21"/>
  <c r="F65" i="21"/>
  <c r="F53" i="21"/>
  <c r="H47" i="21"/>
  <c r="H35" i="21"/>
  <c r="G8" i="21"/>
  <c r="G26" i="21"/>
  <c r="G14" i="21"/>
  <c r="H233" i="21"/>
  <c r="F219" i="21"/>
  <c r="F211" i="21"/>
  <c r="H205" i="21"/>
  <c r="G200" i="21"/>
  <c r="F191" i="21"/>
  <c r="G184" i="21"/>
  <c r="F177" i="21"/>
  <c r="F138" i="21"/>
  <c r="G131" i="21"/>
  <c r="F126" i="21"/>
  <c r="H120" i="21"/>
  <c r="F110" i="21"/>
  <c r="G103" i="21"/>
  <c r="G75" i="21"/>
  <c r="H68" i="21"/>
  <c r="H60" i="21"/>
  <c r="F54" i="21"/>
  <c r="G47" i="21"/>
  <c r="H40" i="21"/>
  <c r="F26" i="21"/>
  <c r="G19" i="21"/>
  <c r="H12" i="21"/>
  <c r="G170" i="21"/>
  <c r="F147" i="21"/>
  <c r="F131" i="21"/>
  <c r="G124" i="21"/>
  <c r="G100" i="21"/>
  <c r="H93" i="21"/>
  <c r="H85" i="21"/>
  <c r="G72" i="21"/>
  <c r="F67" i="21"/>
  <c r="G60" i="21"/>
  <c r="H53" i="21"/>
  <c r="F47" i="21"/>
  <c r="G40" i="21"/>
  <c r="H33" i="21"/>
  <c r="F159" i="21"/>
  <c r="F152" i="21"/>
  <c r="G141" i="21"/>
  <c r="H126" i="21"/>
  <c r="G121" i="21"/>
  <c r="H110" i="21"/>
  <c r="F96" i="21"/>
  <c r="H82" i="21"/>
  <c r="F68" i="21"/>
  <c r="F60" i="21"/>
  <c r="H54" i="21"/>
  <c r="H42" i="21"/>
  <c r="G37" i="21"/>
  <c r="H30" i="21"/>
  <c r="H18" i="21"/>
  <c r="G166" i="21"/>
  <c r="F141" i="21"/>
  <c r="H131" i="21"/>
  <c r="H103" i="21"/>
  <c r="H95" i="21"/>
  <c r="F89" i="21"/>
  <c r="G82" i="21"/>
  <c r="F77" i="21"/>
  <c r="H63" i="21"/>
  <c r="G58" i="21"/>
  <c r="H51" i="21"/>
  <c r="E207" i="19"/>
  <c r="F207" i="19" s="1"/>
  <c r="G207" i="19" s="1"/>
  <c r="H207" i="19" s="1"/>
  <c r="I207" i="19" s="1"/>
  <c r="J207" i="19" s="1"/>
  <c r="K207" i="19" s="1"/>
  <c r="E214" i="19"/>
  <c r="F214" i="19" s="1"/>
  <c r="G214" i="19" s="1"/>
  <c r="H214" i="19" s="1"/>
  <c r="I214" i="19" s="1"/>
  <c r="J214" i="19" s="1"/>
  <c r="K214" i="19" s="1"/>
  <c r="E186" i="19"/>
  <c r="F186" i="19" s="1"/>
  <c r="G186" i="19" s="1"/>
  <c r="H186" i="19" s="1"/>
  <c r="I186" i="19" s="1"/>
  <c r="J186" i="19" s="1"/>
  <c r="K186" i="19" s="1"/>
  <c r="E200" i="19"/>
  <c r="F200" i="19" s="1"/>
  <c r="G200" i="19" s="1"/>
  <c r="H200" i="19" s="1"/>
  <c r="I200" i="19" s="1"/>
  <c r="J200" i="19" s="1"/>
  <c r="K200" i="19" s="1"/>
  <c r="E172" i="19"/>
  <c r="F172" i="19" s="1"/>
  <c r="G172" i="19" s="1"/>
  <c r="H172" i="19" s="1"/>
  <c r="I172" i="19" s="1"/>
  <c r="J172" i="19" s="1"/>
  <c r="K172" i="19" s="1"/>
  <c r="E179" i="19"/>
  <c r="F179" i="19" s="1"/>
  <c r="G179" i="19" s="1"/>
  <c r="H179" i="19" s="1"/>
  <c r="I179" i="19" s="1"/>
  <c r="J179" i="19" s="1"/>
  <c r="K179" i="19" s="1"/>
  <c r="E158" i="19"/>
  <c r="F158" i="19" s="1"/>
  <c r="G158" i="19" s="1"/>
  <c r="H158" i="19" s="1"/>
  <c r="I158" i="19" s="1"/>
  <c r="J158" i="19" s="1"/>
  <c r="K158" i="19" s="1"/>
  <c r="E165" i="19"/>
  <c r="F165" i="19" s="1"/>
  <c r="G165" i="19" s="1"/>
  <c r="H165" i="19" s="1"/>
  <c r="I165" i="19" s="1"/>
  <c r="J165" i="19" s="1"/>
  <c r="K165" i="19" s="1"/>
  <c r="E193" i="19"/>
  <c r="F193" i="19" s="1"/>
  <c r="G193" i="19" s="1"/>
  <c r="H193" i="19" s="1"/>
  <c r="I193" i="19" s="1"/>
  <c r="J193" i="19" s="1"/>
  <c r="K193" i="19" s="1"/>
  <c r="E151" i="19"/>
  <c r="F151" i="19" s="1"/>
  <c r="G151" i="19" s="1"/>
  <c r="H151" i="19" s="1"/>
  <c r="I151" i="19" s="1"/>
  <c r="J151" i="19" s="1"/>
  <c r="K151" i="19" s="1"/>
  <c r="E137" i="19"/>
  <c r="F137" i="19" s="1"/>
  <c r="G137" i="19" s="1"/>
  <c r="H137" i="19" s="1"/>
  <c r="I137" i="19" s="1"/>
  <c r="J137" i="19" s="1"/>
  <c r="K137" i="19" s="1"/>
  <c r="E144" i="19"/>
  <c r="F144" i="19" s="1"/>
  <c r="G144" i="19" s="1"/>
  <c r="H144" i="19" s="1"/>
  <c r="I144" i="19" s="1"/>
  <c r="J144" i="19" s="1"/>
  <c r="K144" i="19" s="1"/>
  <c r="E130" i="19"/>
  <c r="F130" i="19" s="1"/>
  <c r="G130" i="19" s="1"/>
  <c r="H130" i="19" s="1"/>
  <c r="I130" i="19" s="1"/>
  <c r="J130" i="19" s="1"/>
  <c r="K130" i="19" s="1"/>
  <c r="E123" i="19"/>
  <c r="F123" i="19" s="1"/>
  <c r="G123" i="19" s="1"/>
  <c r="H123" i="19" s="1"/>
  <c r="I123" i="19" s="1"/>
  <c r="J123" i="19" s="1"/>
  <c r="K123" i="19" s="1"/>
  <c r="E109" i="19"/>
  <c r="F109" i="19" s="1"/>
  <c r="G109" i="19" s="1"/>
  <c r="H109" i="19" s="1"/>
  <c r="I109" i="19" s="1"/>
  <c r="J109" i="19" s="1"/>
  <c r="K109" i="19" s="1"/>
  <c r="E116" i="19"/>
  <c r="F116" i="19" s="1"/>
  <c r="G116" i="19" s="1"/>
  <c r="H116" i="19" s="1"/>
  <c r="I116" i="19" s="1"/>
  <c r="J116" i="19" s="1"/>
  <c r="K116" i="19" s="1"/>
  <c r="E95" i="19"/>
  <c r="F95" i="19" s="1"/>
  <c r="G95" i="19" s="1"/>
  <c r="H95" i="19" s="1"/>
  <c r="I95" i="19" s="1"/>
  <c r="J95" i="19" s="1"/>
  <c r="K95" i="19" s="1"/>
  <c r="E102" i="19"/>
  <c r="F102" i="19" s="1"/>
  <c r="G102" i="19" s="1"/>
  <c r="H102" i="19" s="1"/>
  <c r="I102" i="19" s="1"/>
  <c r="J102" i="19" s="1"/>
  <c r="K102" i="19" s="1"/>
  <c r="E81" i="19"/>
  <c r="F81" i="19" s="1"/>
  <c r="G81" i="19" s="1"/>
  <c r="H81" i="19" s="1"/>
  <c r="I81" i="19" s="1"/>
  <c r="J81" i="19" s="1"/>
  <c r="K81" i="19" s="1"/>
  <c r="E88" i="19"/>
  <c r="F88" i="19" s="1"/>
  <c r="G88" i="19" s="1"/>
  <c r="H88" i="19" s="1"/>
  <c r="I88" i="19" s="1"/>
  <c r="J88" i="19" s="1"/>
  <c r="K88" i="19" s="1"/>
  <c r="E67" i="19"/>
  <c r="F67" i="19" s="1"/>
  <c r="G67" i="19" s="1"/>
  <c r="H67" i="19" s="1"/>
  <c r="I67" i="19" s="1"/>
  <c r="J67" i="19" s="1"/>
  <c r="K67" i="19" s="1"/>
  <c r="E74" i="19"/>
  <c r="F74" i="19" s="1"/>
  <c r="G74" i="19" s="1"/>
  <c r="H74" i="19" s="1"/>
  <c r="I74" i="19" s="1"/>
  <c r="J74" i="19" s="1"/>
  <c r="K74" i="19" s="1"/>
  <c r="E53" i="19"/>
  <c r="F53" i="19" s="1"/>
  <c r="G53" i="19" s="1"/>
  <c r="H53" i="19" s="1"/>
  <c r="I53" i="19" s="1"/>
  <c r="J53" i="19" s="1"/>
  <c r="K53" i="19" s="1"/>
  <c r="E60" i="19"/>
  <c r="F60" i="19" s="1"/>
  <c r="G60" i="19" s="1"/>
  <c r="H60" i="19" s="1"/>
  <c r="I60" i="19" s="1"/>
  <c r="J60" i="19" s="1"/>
  <c r="K60" i="19" s="1"/>
  <c r="E205" i="19"/>
  <c r="F205" i="19" s="1"/>
  <c r="G205" i="19" s="1"/>
  <c r="H205" i="19" s="1"/>
  <c r="I205" i="19" s="1"/>
  <c r="J205" i="19" s="1"/>
  <c r="K205" i="19" s="1"/>
  <c r="E212" i="19"/>
  <c r="F212" i="19" s="1"/>
  <c r="G212" i="19" s="1"/>
  <c r="H212" i="19" s="1"/>
  <c r="I212" i="19" s="1"/>
  <c r="J212" i="19" s="1"/>
  <c r="K212" i="19" s="1"/>
  <c r="E191" i="19"/>
  <c r="F191" i="19" s="1"/>
  <c r="G191" i="19" s="1"/>
  <c r="H191" i="19" s="1"/>
  <c r="I191" i="19" s="1"/>
  <c r="J191" i="19" s="1"/>
  <c r="K191" i="19" s="1"/>
  <c r="E198" i="19"/>
  <c r="F198" i="19" s="1"/>
  <c r="G198" i="19" s="1"/>
  <c r="H198" i="19" s="1"/>
  <c r="I198" i="19" s="1"/>
  <c r="J198" i="19" s="1"/>
  <c r="K198" i="19" s="1"/>
  <c r="E177" i="19"/>
  <c r="F177" i="19" s="1"/>
  <c r="G177" i="19" s="1"/>
  <c r="H177" i="19" s="1"/>
  <c r="I177" i="19" s="1"/>
  <c r="J177" i="19" s="1"/>
  <c r="K177" i="19" s="1"/>
  <c r="E184" i="19"/>
  <c r="F184" i="19" s="1"/>
  <c r="G184" i="19" s="1"/>
  <c r="H184" i="19" s="1"/>
  <c r="I184" i="19" s="1"/>
  <c r="J184" i="19" s="1"/>
  <c r="K184" i="19" s="1"/>
  <c r="E156" i="19"/>
  <c r="F156" i="19" s="1"/>
  <c r="G156" i="19" s="1"/>
  <c r="H156" i="19" s="1"/>
  <c r="I156" i="19" s="1"/>
  <c r="J156" i="19" s="1"/>
  <c r="K156" i="19" s="1"/>
  <c r="E170" i="19"/>
  <c r="F170" i="19" s="1"/>
  <c r="G170" i="19" s="1"/>
  <c r="H170" i="19" s="1"/>
  <c r="I170" i="19" s="1"/>
  <c r="J170" i="19" s="1"/>
  <c r="K170" i="19" s="1"/>
  <c r="E149" i="19"/>
  <c r="F149" i="19" s="1"/>
  <c r="G149" i="19" s="1"/>
  <c r="H149" i="19" s="1"/>
  <c r="I149" i="19" s="1"/>
  <c r="J149" i="19" s="1"/>
  <c r="K149" i="19" s="1"/>
  <c r="E163" i="19"/>
  <c r="F163" i="19" s="1"/>
  <c r="G163" i="19" s="1"/>
  <c r="H163" i="19" s="1"/>
  <c r="I163" i="19" s="1"/>
  <c r="J163" i="19" s="1"/>
  <c r="K163" i="19" s="1"/>
  <c r="E135" i="19"/>
  <c r="F135" i="19" s="1"/>
  <c r="G135" i="19" s="1"/>
  <c r="H135" i="19" s="1"/>
  <c r="I135" i="19" s="1"/>
  <c r="J135" i="19" s="1"/>
  <c r="K135" i="19" s="1"/>
  <c r="E142" i="19"/>
  <c r="F142" i="19" s="1"/>
  <c r="G142" i="19" s="1"/>
  <c r="H142" i="19" s="1"/>
  <c r="I142" i="19" s="1"/>
  <c r="J142" i="19" s="1"/>
  <c r="K142" i="19" s="1"/>
  <c r="E114" i="19"/>
  <c r="F114" i="19" s="1"/>
  <c r="G114" i="19" s="1"/>
  <c r="H114" i="19" s="1"/>
  <c r="I114" i="19" s="1"/>
  <c r="J114" i="19" s="1"/>
  <c r="K114" i="19" s="1"/>
  <c r="E128" i="19"/>
  <c r="F128" i="19" s="1"/>
  <c r="G128" i="19" s="1"/>
  <c r="H128" i="19" s="1"/>
  <c r="I128" i="19" s="1"/>
  <c r="J128" i="19" s="1"/>
  <c r="K128" i="19" s="1"/>
  <c r="E107" i="19"/>
  <c r="F107" i="19" s="1"/>
  <c r="G107" i="19" s="1"/>
  <c r="H107" i="19" s="1"/>
  <c r="I107" i="19" s="1"/>
  <c r="J107" i="19" s="1"/>
  <c r="K107" i="19" s="1"/>
  <c r="E121" i="19"/>
  <c r="F121" i="19" s="1"/>
  <c r="G121" i="19" s="1"/>
  <c r="H121" i="19" s="1"/>
  <c r="I121" i="19" s="1"/>
  <c r="J121" i="19" s="1"/>
  <c r="K121" i="19" s="1"/>
  <c r="E93" i="19"/>
  <c r="F93" i="19" s="1"/>
  <c r="G93" i="19" s="1"/>
  <c r="H93" i="19" s="1"/>
  <c r="I93" i="19" s="1"/>
  <c r="J93" i="19" s="1"/>
  <c r="K93" i="19" s="1"/>
  <c r="E100" i="19"/>
  <c r="F100" i="19" s="1"/>
  <c r="G100" i="19" s="1"/>
  <c r="H100" i="19" s="1"/>
  <c r="I100" i="19" s="1"/>
  <c r="J100" i="19" s="1"/>
  <c r="K100" i="19" s="1"/>
  <c r="E86" i="19"/>
  <c r="F86" i="19" s="1"/>
  <c r="G86" i="19" s="1"/>
  <c r="H86" i="19" s="1"/>
  <c r="I86" i="19" s="1"/>
  <c r="J86" i="19" s="1"/>
  <c r="K86" i="19" s="1"/>
  <c r="E79" i="19"/>
  <c r="F79" i="19" s="1"/>
  <c r="G79" i="19" s="1"/>
  <c r="H79" i="19" s="1"/>
  <c r="I79" i="19" s="1"/>
  <c r="J79" i="19" s="1"/>
  <c r="K79" i="19" s="1"/>
  <c r="E65" i="19"/>
  <c r="F65" i="19" s="1"/>
  <c r="G65" i="19" s="1"/>
  <c r="H65" i="19" s="1"/>
  <c r="I65" i="19" s="1"/>
  <c r="J65" i="19" s="1"/>
  <c r="K65" i="19" s="1"/>
  <c r="E72" i="19"/>
  <c r="F72" i="19" s="1"/>
  <c r="G72" i="19" s="1"/>
  <c r="H72" i="19" s="1"/>
  <c r="I72" i="19" s="1"/>
  <c r="J72" i="19" s="1"/>
  <c r="K72" i="19" s="1"/>
  <c r="E51" i="19"/>
  <c r="F51" i="19" s="1"/>
  <c r="G51" i="19" s="1"/>
  <c r="H51" i="19" s="1"/>
  <c r="I51" i="19" s="1"/>
  <c r="J51" i="19" s="1"/>
  <c r="K51" i="19" s="1"/>
  <c r="E58" i="19"/>
  <c r="F58" i="19" s="1"/>
  <c r="G58" i="19" s="1"/>
  <c r="H58" i="19" s="1"/>
  <c r="I58" i="19" s="1"/>
  <c r="J58" i="19" s="1"/>
  <c r="K58" i="19" s="1"/>
  <c r="E204" i="19"/>
  <c r="F204" i="19" s="1"/>
  <c r="G204" i="19" s="1"/>
  <c r="H204" i="19" s="1"/>
  <c r="I204" i="19" s="1"/>
  <c r="J204" i="19" s="1"/>
  <c r="K204" i="19" s="1"/>
  <c r="E211" i="19"/>
  <c r="F211" i="19" s="1"/>
  <c r="G211" i="19" s="1"/>
  <c r="H211" i="19" s="1"/>
  <c r="I211" i="19" s="1"/>
  <c r="J211" i="19" s="1"/>
  <c r="E190" i="19"/>
  <c r="F190" i="19" s="1"/>
  <c r="G190" i="19" s="1"/>
  <c r="H190" i="19" s="1"/>
  <c r="I190" i="19" s="1"/>
  <c r="J190" i="19" s="1"/>
  <c r="K190" i="19" s="1"/>
  <c r="E197" i="19"/>
  <c r="F197" i="19" s="1"/>
  <c r="G197" i="19" s="1"/>
  <c r="H197" i="19" s="1"/>
  <c r="I197" i="19" s="1"/>
  <c r="J197" i="19" s="1"/>
  <c r="K197" i="19" s="1"/>
  <c r="E176" i="19"/>
  <c r="F176" i="19" s="1"/>
  <c r="G176" i="19" s="1"/>
  <c r="H176" i="19" s="1"/>
  <c r="I176" i="19" s="1"/>
  <c r="J176" i="19" s="1"/>
  <c r="K176" i="19" s="1"/>
  <c r="E183" i="19"/>
  <c r="F183" i="19" s="1"/>
  <c r="G183" i="19" s="1"/>
  <c r="H183" i="19" s="1"/>
  <c r="I183" i="19" s="1"/>
  <c r="J183" i="19" s="1"/>
  <c r="K183" i="19" s="1"/>
  <c r="E162" i="19"/>
  <c r="F162" i="19" s="1"/>
  <c r="G162" i="19" s="1"/>
  <c r="H162" i="19" s="1"/>
  <c r="I162" i="19" s="1"/>
  <c r="J162" i="19" s="1"/>
  <c r="K162" i="19" s="1"/>
  <c r="E169" i="19"/>
  <c r="F169" i="19" s="1"/>
  <c r="G169" i="19" s="1"/>
  <c r="H169" i="19" s="1"/>
  <c r="I169" i="19" s="1"/>
  <c r="J169" i="19" s="1"/>
  <c r="K169" i="19" s="1"/>
  <c r="E148" i="19"/>
  <c r="F148" i="19" s="1"/>
  <c r="G148" i="19" s="1"/>
  <c r="H148" i="19" s="1"/>
  <c r="I148" i="19" s="1"/>
  <c r="J148" i="19" s="1"/>
  <c r="K148" i="19" s="1"/>
  <c r="E155" i="19"/>
  <c r="F155" i="19" s="1"/>
  <c r="G155" i="19" s="1"/>
  <c r="H155" i="19" s="1"/>
  <c r="I155" i="19" s="1"/>
  <c r="J155" i="19" s="1"/>
  <c r="K155" i="19" s="1"/>
  <c r="E134" i="19"/>
  <c r="F134" i="19" s="1"/>
  <c r="G134" i="19" s="1"/>
  <c r="H134" i="19" s="1"/>
  <c r="I134" i="19" s="1"/>
  <c r="J134" i="19" s="1"/>
  <c r="K134" i="19" s="1"/>
  <c r="E141" i="19"/>
  <c r="F141" i="19" s="1"/>
  <c r="G141" i="19" s="1"/>
  <c r="H141" i="19" s="1"/>
  <c r="I141" i="19" s="1"/>
  <c r="J141" i="19" s="1"/>
  <c r="K141" i="19" s="1"/>
  <c r="E113" i="19"/>
  <c r="F113" i="19" s="1"/>
  <c r="G113" i="19" s="1"/>
  <c r="H113" i="19" s="1"/>
  <c r="I113" i="19" s="1"/>
  <c r="J113" i="19" s="1"/>
  <c r="K113" i="19" s="1"/>
  <c r="E120" i="19"/>
  <c r="F120" i="19" s="1"/>
  <c r="G120" i="19" s="1"/>
  <c r="H120" i="19" s="1"/>
  <c r="I120" i="19" s="1"/>
  <c r="J120" i="19" s="1"/>
  <c r="E99" i="19"/>
  <c r="F99" i="19" s="1"/>
  <c r="G99" i="19" s="1"/>
  <c r="H99" i="19" s="1"/>
  <c r="I99" i="19" s="1"/>
  <c r="J99" i="19" s="1"/>
  <c r="K99" i="19" s="1"/>
  <c r="E106" i="19"/>
  <c r="F106" i="19" s="1"/>
  <c r="G106" i="19" s="1"/>
  <c r="H106" i="19" s="1"/>
  <c r="I106" i="19" s="1"/>
  <c r="J106" i="19" s="1"/>
  <c r="K106" i="19" s="1"/>
  <c r="E92" i="19"/>
  <c r="F92" i="19" s="1"/>
  <c r="G92" i="19" s="1"/>
  <c r="H92" i="19" s="1"/>
  <c r="I92" i="19" s="1"/>
  <c r="J92" i="19" s="1"/>
  <c r="K92" i="19" s="1"/>
  <c r="E127" i="19"/>
  <c r="F127" i="19" s="1"/>
  <c r="G127" i="19" s="1"/>
  <c r="H127" i="19" s="1"/>
  <c r="I127" i="19" s="1"/>
  <c r="J127" i="19" s="1"/>
  <c r="K127" i="19" s="1"/>
  <c r="E78" i="19"/>
  <c r="F78" i="19" s="1"/>
  <c r="G78" i="19" s="1"/>
  <c r="H78" i="19" s="1"/>
  <c r="I78" i="19" s="1"/>
  <c r="J78" i="19" s="1"/>
  <c r="K78" i="19" s="1"/>
  <c r="E85" i="19"/>
  <c r="F85" i="19" s="1"/>
  <c r="G85" i="19" s="1"/>
  <c r="H85" i="19" s="1"/>
  <c r="I85" i="19" s="1"/>
  <c r="J85" i="19" s="1"/>
  <c r="K85" i="19" s="1"/>
  <c r="E64" i="19"/>
  <c r="F64" i="19" s="1"/>
  <c r="G64" i="19" s="1"/>
  <c r="H64" i="19" s="1"/>
  <c r="I64" i="19" s="1"/>
  <c r="J64" i="19" s="1"/>
  <c r="K64" i="19" s="1"/>
  <c r="E71" i="19"/>
  <c r="F71" i="19" s="1"/>
  <c r="G71" i="19" s="1"/>
  <c r="H71" i="19" s="1"/>
  <c r="I71" i="19" s="1"/>
  <c r="J71" i="19" s="1"/>
  <c r="K71" i="19" s="1"/>
  <c r="E50" i="19"/>
  <c r="F50" i="19" s="1"/>
  <c r="G50" i="19" s="1"/>
  <c r="H50" i="19" s="1"/>
  <c r="I50" i="19" s="1"/>
  <c r="J50" i="19" s="1"/>
  <c r="E57" i="19"/>
  <c r="F57" i="19" s="1"/>
  <c r="G57" i="19" s="1"/>
  <c r="H57" i="19" s="1"/>
  <c r="I57" i="19" s="1"/>
  <c r="J57" i="19" s="1"/>
  <c r="K57" i="19" s="1"/>
  <c r="E209" i="19"/>
  <c r="F209" i="19" s="1"/>
  <c r="G209" i="19" s="1"/>
  <c r="H209" i="19" s="1"/>
  <c r="I209" i="19" s="1"/>
  <c r="J209" i="19" s="1"/>
  <c r="K209" i="19" s="1"/>
  <c r="E195" i="19"/>
  <c r="F195" i="19" s="1"/>
  <c r="G195" i="19" s="1"/>
  <c r="H195" i="19" s="1"/>
  <c r="I195" i="19" s="1"/>
  <c r="J195" i="19" s="1"/>
  <c r="K195" i="19" s="1"/>
  <c r="E202" i="19"/>
  <c r="F202" i="19" s="1"/>
  <c r="G202" i="19" s="1"/>
  <c r="H202" i="19" s="1"/>
  <c r="I202" i="19" s="1"/>
  <c r="J202" i="19" s="1"/>
  <c r="K202" i="19" s="1"/>
  <c r="E188" i="19"/>
  <c r="F188" i="19" s="1"/>
  <c r="G188" i="19" s="1"/>
  <c r="H188" i="19" s="1"/>
  <c r="I188" i="19" s="1"/>
  <c r="J188" i="19" s="1"/>
  <c r="K188" i="19" s="1"/>
  <c r="E181" i="19"/>
  <c r="F181" i="19" s="1"/>
  <c r="G181" i="19" s="1"/>
  <c r="H181" i="19" s="1"/>
  <c r="I181" i="19" s="1"/>
  <c r="J181" i="19" s="1"/>
  <c r="K181" i="19" s="1"/>
  <c r="E160" i="19"/>
  <c r="F160" i="19" s="1"/>
  <c r="G160" i="19" s="1"/>
  <c r="H160" i="19" s="1"/>
  <c r="I160" i="19" s="1"/>
  <c r="J160" i="19" s="1"/>
  <c r="K160" i="19" s="1"/>
  <c r="E174" i="19"/>
  <c r="F174" i="19" s="1"/>
  <c r="G174" i="19" s="1"/>
  <c r="H174" i="19" s="1"/>
  <c r="I174" i="19" s="1"/>
  <c r="J174" i="19" s="1"/>
  <c r="K174" i="19" s="1"/>
  <c r="E146" i="19"/>
  <c r="F146" i="19" s="1"/>
  <c r="G146" i="19" s="1"/>
  <c r="H146" i="19" s="1"/>
  <c r="I146" i="19" s="1"/>
  <c r="J146" i="19" s="1"/>
  <c r="K146" i="19" s="1"/>
  <c r="E153" i="19"/>
  <c r="F153" i="19" s="1"/>
  <c r="G153" i="19" s="1"/>
  <c r="H153" i="19" s="1"/>
  <c r="I153" i="19" s="1"/>
  <c r="J153" i="19" s="1"/>
  <c r="K153" i="19" s="1"/>
  <c r="E132" i="19"/>
  <c r="F132" i="19" s="1"/>
  <c r="G132" i="19" s="1"/>
  <c r="H132" i="19" s="1"/>
  <c r="I132" i="19" s="1"/>
  <c r="J132" i="19" s="1"/>
  <c r="K132" i="19" s="1"/>
  <c r="E139" i="19"/>
  <c r="F139" i="19" s="1"/>
  <c r="G139" i="19" s="1"/>
  <c r="H139" i="19" s="1"/>
  <c r="I139" i="19" s="1"/>
  <c r="J139" i="19" s="1"/>
  <c r="K139" i="19" s="1"/>
  <c r="E111" i="19"/>
  <c r="F111" i="19" s="1"/>
  <c r="G111" i="19" s="1"/>
  <c r="H111" i="19" s="1"/>
  <c r="I111" i="19" s="1"/>
  <c r="J111" i="19" s="1"/>
  <c r="K111" i="19" s="1"/>
  <c r="E118" i="19"/>
  <c r="F118" i="19" s="1"/>
  <c r="G118" i="19" s="1"/>
  <c r="H118" i="19" s="1"/>
  <c r="I118" i="19" s="1"/>
  <c r="J118" i="19" s="1"/>
  <c r="K118" i="19" s="1"/>
  <c r="E97" i="19"/>
  <c r="F97" i="19" s="1"/>
  <c r="G97" i="19" s="1"/>
  <c r="H97" i="19" s="1"/>
  <c r="I97" i="19" s="1"/>
  <c r="J97" i="19" s="1"/>
  <c r="K97" i="19" s="1"/>
  <c r="E104" i="19"/>
  <c r="F104" i="19" s="1"/>
  <c r="G104" i="19" s="1"/>
  <c r="H104" i="19" s="1"/>
  <c r="I104" i="19" s="1"/>
  <c r="J104" i="19" s="1"/>
  <c r="K104" i="19" s="1"/>
  <c r="E76" i="19"/>
  <c r="F76" i="19" s="1"/>
  <c r="G76" i="19" s="1"/>
  <c r="H76" i="19" s="1"/>
  <c r="I76" i="19" s="1"/>
  <c r="J76" i="19" s="1"/>
  <c r="K76" i="19" s="1"/>
  <c r="E83" i="19"/>
  <c r="F83" i="19" s="1"/>
  <c r="G83" i="19" s="1"/>
  <c r="H83" i="19" s="1"/>
  <c r="I83" i="19" s="1"/>
  <c r="J83" i="19" s="1"/>
  <c r="K83" i="19" s="1"/>
  <c r="E55" i="19"/>
  <c r="F55" i="19" s="1"/>
  <c r="G55" i="19" s="1"/>
  <c r="H55" i="19" s="1"/>
  <c r="I55" i="19" s="1"/>
  <c r="J55" i="19" s="1"/>
  <c r="K55" i="19" s="1"/>
  <c r="E69" i="19"/>
  <c r="F69" i="19" s="1"/>
  <c r="G69" i="19" s="1"/>
  <c r="H69" i="19" s="1"/>
  <c r="I69" i="19" s="1"/>
  <c r="J69" i="19" s="1"/>
  <c r="K69" i="19" s="1"/>
  <c r="E125" i="19"/>
  <c r="F125" i="19" s="1"/>
  <c r="G125" i="19" s="1"/>
  <c r="H125" i="19" s="1"/>
  <c r="I125" i="19" s="1"/>
  <c r="J125" i="19" s="1"/>
  <c r="K125" i="19" s="1"/>
  <c r="E167" i="19"/>
  <c r="F167" i="19" s="1"/>
  <c r="G167" i="19" s="1"/>
  <c r="H167" i="19" s="1"/>
  <c r="I167" i="19" s="1"/>
  <c r="J167" i="19" s="1"/>
  <c r="K167" i="19" s="1"/>
  <c r="E62" i="19"/>
  <c r="F62" i="19" s="1"/>
  <c r="G62" i="19" s="1"/>
  <c r="H62" i="19" s="1"/>
  <c r="I62" i="19" s="1"/>
  <c r="J62" i="19" s="1"/>
  <c r="K62" i="19" s="1"/>
  <c r="E90" i="19"/>
  <c r="F90" i="19" s="1"/>
  <c r="G90" i="19" s="1"/>
  <c r="H90" i="19" s="1"/>
  <c r="I90" i="19" s="1"/>
  <c r="J90" i="19" s="1"/>
  <c r="K90" i="19" s="1"/>
  <c r="E201" i="19"/>
  <c r="E208" i="19"/>
  <c r="E187" i="19"/>
  <c r="E194" i="19"/>
  <c r="E203" i="17"/>
  <c r="F203" i="17" s="1"/>
  <c r="G203" i="17" s="1"/>
  <c r="H203" i="17" s="1"/>
  <c r="I203" i="17" s="1"/>
  <c r="J203" i="17" s="1"/>
  <c r="K203" i="17" s="1"/>
  <c r="E180" i="19"/>
  <c r="E105" i="17"/>
  <c r="F105" i="17" s="1"/>
  <c r="G105" i="17" s="1"/>
  <c r="H105" i="17" s="1"/>
  <c r="I105" i="17" s="1"/>
  <c r="J105" i="17" s="1"/>
  <c r="K105" i="17" s="1"/>
  <c r="E196" i="17"/>
  <c r="F196" i="17" s="1"/>
  <c r="G196" i="17" s="1"/>
  <c r="H196" i="17" s="1"/>
  <c r="I196" i="17" s="1"/>
  <c r="J196" i="17" s="1"/>
  <c r="K196" i="17" s="1"/>
  <c r="E204" i="17"/>
  <c r="F204" i="17" s="1"/>
  <c r="G204" i="17" s="1"/>
  <c r="H204" i="17" s="1"/>
  <c r="I204" i="17" s="1"/>
  <c r="J204" i="17" s="1"/>
  <c r="K204" i="17" s="1"/>
  <c r="E211" i="17"/>
  <c r="F211" i="17" s="1"/>
  <c r="G211" i="17" s="1"/>
  <c r="H211" i="17" s="1"/>
  <c r="I211" i="17" s="1"/>
  <c r="J211" i="17" s="1"/>
  <c r="K211" i="17" s="1"/>
  <c r="E190" i="17"/>
  <c r="F190" i="17" s="1"/>
  <c r="G190" i="17" s="1"/>
  <c r="H190" i="17" s="1"/>
  <c r="I190" i="17" s="1"/>
  <c r="J190" i="17" s="1"/>
  <c r="K190" i="17" s="1"/>
  <c r="E197" i="17"/>
  <c r="F197" i="17" s="1"/>
  <c r="G197" i="17" s="1"/>
  <c r="H197" i="17" s="1"/>
  <c r="I197" i="17" s="1"/>
  <c r="J197" i="17" s="1"/>
  <c r="K197" i="17" s="1"/>
  <c r="E176" i="17"/>
  <c r="F176" i="17" s="1"/>
  <c r="G176" i="17" s="1"/>
  <c r="H176" i="17" s="1"/>
  <c r="I176" i="17" s="1"/>
  <c r="J176" i="17" s="1"/>
  <c r="K176" i="17" s="1"/>
  <c r="E183" i="17"/>
  <c r="F183" i="17" s="1"/>
  <c r="G183" i="17" s="1"/>
  <c r="H183" i="17" s="1"/>
  <c r="I183" i="17" s="1"/>
  <c r="J183" i="17" s="1"/>
  <c r="K183" i="17" s="1"/>
  <c r="E155" i="17"/>
  <c r="F155" i="17" s="1"/>
  <c r="G155" i="17" s="1"/>
  <c r="H155" i="17" s="1"/>
  <c r="I155" i="17" s="1"/>
  <c r="J155" i="17" s="1"/>
  <c r="K155" i="17" s="1"/>
  <c r="E162" i="17"/>
  <c r="F162" i="17" s="1"/>
  <c r="G162" i="17" s="1"/>
  <c r="H162" i="17" s="1"/>
  <c r="I162" i="17" s="1"/>
  <c r="J162" i="17" s="1"/>
  <c r="K162" i="17" s="1"/>
  <c r="E141" i="17"/>
  <c r="F141" i="17" s="1"/>
  <c r="G141" i="17" s="1"/>
  <c r="H141" i="17" s="1"/>
  <c r="I141" i="17" s="1"/>
  <c r="J141" i="17" s="1"/>
  <c r="K141" i="17" s="1"/>
  <c r="E148" i="17"/>
  <c r="F148" i="17" s="1"/>
  <c r="G148" i="17" s="1"/>
  <c r="H148" i="17" s="1"/>
  <c r="I148" i="17" s="1"/>
  <c r="J148" i="17" s="1"/>
  <c r="K148" i="17" s="1"/>
  <c r="E120" i="17"/>
  <c r="F120" i="17" s="1"/>
  <c r="G120" i="17" s="1"/>
  <c r="H120" i="17" s="1"/>
  <c r="I120" i="17" s="1"/>
  <c r="J120" i="17" s="1"/>
  <c r="K120" i="17" s="1"/>
  <c r="E134" i="17"/>
  <c r="F134" i="17" s="1"/>
  <c r="G134" i="17" s="1"/>
  <c r="H134" i="17" s="1"/>
  <c r="I134" i="17" s="1"/>
  <c r="J134" i="17" s="1"/>
  <c r="E106" i="17"/>
  <c r="F106" i="17" s="1"/>
  <c r="G106" i="17" s="1"/>
  <c r="H106" i="17" s="1"/>
  <c r="I106" i="17" s="1"/>
  <c r="J106" i="17" s="1"/>
  <c r="K106" i="17" s="1"/>
  <c r="E113" i="17"/>
  <c r="F113" i="17" s="1"/>
  <c r="G113" i="17" s="1"/>
  <c r="H113" i="17" s="1"/>
  <c r="I113" i="17" s="1"/>
  <c r="J113" i="17" s="1"/>
  <c r="K113" i="17" s="1"/>
  <c r="E169" i="17"/>
  <c r="F169" i="17" s="1"/>
  <c r="G169" i="17" s="1"/>
  <c r="H169" i="17" s="1"/>
  <c r="I169" i="17" s="1"/>
  <c r="J169" i="17" s="1"/>
  <c r="K169" i="17" s="1"/>
  <c r="E99" i="17"/>
  <c r="F99" i="17" s="1"/>
  <c r="G99" i="17" s="1"/>
  <c r="H99" i="17" s="1"/>
  <c r="I99" i="17" s="1"/>
  <c r="J99" i="17" s="1"/>
  <c r="K99" i="17" s="1"/>
  <c r="E92" i="17"/>
  <c r="F92" i="17" s="1"/>
  <c r="G92" i="17" s="1"/>
  <c r="H92" i="17" s="1"/>
  <c r="I92" i="17" s="1"/>
  <c r="J92" i="17" s="1"/>
  <c r="K92" i="17" s="1"/>
  <c r="E127" i="17"/>
  <c r="F127" i="17" s="1"/>
  <c r="G127" i="17" s="1"/>
  <c r="H127" i="17" s="1"/>
  <c r="I127" i="17" s="1"/>
  <c r="J127" i="17" s="1"/>
  <c r="K127" i="17" s="1"/>
  <c r="E78" i="17"/>
  <c r="F78" i="17" s="1"/>
  <c r="G78" i="17" s="1"/>
  <c r="H78" i="17" s="1"/>
  <c r="I78" i="17" s="1"/>
  <c r="J78" i="17" s="1"/>
  <c r="K78" i="17" s="1"/>
  <c r="E85" i="17"/>
  <c r="F85" i="17" s="1"/>
  <c r="G85" i="17" s="1"/>
  <c r="H85" i="17" s="1"/>
  <c r="I85" i="17" s="1"/>
  <c r="J85" i="17" s="1"/>
  <c r="K85" i="17" s="1"/>
  <c r="E64" i="17"/>
  <c r="F64" i="17" s="1"/>
  <c r="G64" i="17" s="1"/>
  <c r="H64" i="17" s="1"/>
  <c r="I64" i="17" s="1"/>
  <c r="J64" i="17" s="1"/>
  <c r="K64" i="17" s="1"/>
  <c r="E71" i="17"/>
  <c r="F71" i="17" s="1"/>
  <c r="G71" i="17" s="1"/>
  <c r="H71" i="17" s="1"/>
  <c r="I71" i="17" s="1"/>
  <c r="J71" i="17" s="1"/>
  <c r="K71" i="17" s="1"/>
  <c r="E50" i="17"/>
  <c r="F50" i="17" s="1"/>
  <c r="G50" i="17" s="1"/>
  <c r="H50" i="17" s="1"/>
  <c r="I50" i="17" s="1"/>
  <c r="J50" i="17" s="1"/>
  <c r="K50" i="17" s="1"/>
  <c r="E57" i="17"/>
  <c r="F57" i="17" s="1"/>
  <c r="G57" i="17" s="1"/>
  <c r="H57" i="17" s="1"/>
  <c r="I57" i="17" s="1"/>
  <c r="J57" i="17" s="1"/>
  <c r="K57" i="17" s="1"/>
  <c r="E36" i="17"/>
  <c r="F36" i="17" s="1"/>
  <c r="G36" i="17" s="1"/>
  <c r="H36" i="17" s="1"/>
  <c r="I36" i="17" s="1"/>
  <c r="J36" i="17" s="1"/>
  <c r="K36" i="17" s="1"/>
  <c r="E43" i="17"/>
  <c r="F43" i="17" s="1"/>
  <c r="G43" i="17" s="1"/>
  <c r="H43" i="17" s="1"/>
  <c r="I43" i="17" s="1"/>
  <c r="J43" i="17" s="1"/>
  <c r="K43" i="17" s="1"/>
  <c r="E22" i="17"/>
  <c r="F22" i="17" s="1"/>
  <c r="G22" i="17" s="1"/>
  <c r="H22" i="17" s="1"/>
  <c r="I22" i="17" s="1"/>
  <c r="J22" i="17" s="1"/>
  <c r="K22" i="17" s="1"/>
  <c r="E29" i="17"/>
  <c r="F29" i="17" s="1"/>
  <c r="G29" i="17" s="1"/>
  <c r="H29" i="17" s="1"/>
  <c r="I29" i="17" s="1"/>
  <c r="J29" i="17" s="1"/>
  <c r="K29" i="17" s="1"/>
  <c r="E214" i="17"/>
  <c r="F214" i="17" s="1"/>
  <c r="G214" i="17" s="1"/>
  <c r="H214" i="17" s="1"/>
  <c r="I214" i="17" s="1"/>
  <c r="J214" i="17" s="1"/>
  <c r="K214" i="17" s="1"/>
  <c r="E15" i="17"/>
  <c r="F15" i="17" s="1"/>
  <c r="G15" i="17" s="1"/>
  <c r="H15" i="17" s="1"/>
  <c r="I15" i="17" s="1"/>
  <c r="J15" i="17" s="1"/>
  <c r="K15" i="17" s="1"/>
  <c r="E200" i="17"/>
  <c r="F200" i="17" s="1"/>
  <c r="G200" i="17" s="1"/>
  <c r="H200" i="17" s="1"/>
  <c r="I200" i="17" s="1"/>
  <c r="J200" i="17" s="1"/>
  <c r="K200" i="17" s="1"/>
  <c r="E207" i="17"/>
  <c r="F207" i="17" s="1"/>
  <c r="G207" i="17" s="1"/>
  <c r="H207" i="17" s="1"/>
  <c r="I207" i="17" s="1"/>
  <c r="J207" i="17" s="1"/>
  <c r="K207" i="17" s="1"/>
  <c r="E186" i="17"/>
  <c r="F186" i="17" s="1"/>
  <c r="G186" i="17" s="1"/>
  <c r="H186" i="17" s="1"/>
  <c r="I186" i="17" s="1"/>
  <c r="J186" i="17" s="1"/>
  <c r="K186" i="17" s="1"/>
  <c r="E193" i="17"/>
  <c r="F193" i="17" s="1"/>
  <c r="G193" i="17" s="1"/>
  <c r="H193" i="17" s="1"/>
  <c r="I193" i="17" s="1"/>
  <c r="J193" i="17" s="1"/>
  <c r="K193" i="17" s="1"/>
  <c r="E172" i="17"/>
  <c r="F172" i="17" s="1"/>
  <c r="G172" i="17" s="1"/>
  <c r="H172" i="17" s="1"/>
  <c r="I172" i="17" s="1"/>
  <c r="J172" i="17" s="1"/>
  <c r="K172" i="17" s="1"/>
  <c r="E179" i="17"/>
  <c r="F179" i="17" s="1"/>
  <c r="G179" i="17" s="1"/>
  <c r="H179" i="17" s="1"/>
  <c r="I179" i="17" s="1"/>
  <c r="J179" i="17" s="1"/>
  <c r="K179" i="17" s="1"/>
  <c r="E151" i="17"/>
  <c r="F151" i="17" s="1"/>
  <c r="G151" i="17" s="1"/>
  <c r="H151" i="17" s="1"/>
  <c r="I151" i="17" s="1"/>
  <c r="J151" i="17" s="1"/>
  <c r="K151" i="17" s="1"/>
  <c r="E158" i="17"/>
  <c r="F158" i="17" s="1"/>
  <c r="G158" i="17" s="1"/>
  <c r="H158" i="17" s="1"/>
  <c r="I158" i="17" s="1"/>
  <c r="J158" i="17" s="1"/>
  <c r="K158" i="17" s="1"/>
  <c r="E137" i="17"/>
  <c r="F137" i="17" s="1"/>
  <c r="G137" i="17" s="1"/>
  <c r="H137" i="17" s="1"/>
  <c r="I137" i="17" s="1"/>
  <c r="J137" i="17" s="1"/>
  <c r="K137" i="17" s="1"/>
  <c r="E144" i="17"/>
  <c r="F144" i="17" s="1"/>
  <c r="G144" i="17" s="1"/>
  <c r="H144" i="17" s="1"/>
  <c r="I144" i="17" s="1"/>
  <c r="J144" i="17" s="1"/>
  <c r="K144" i="17" s="1"/>
  <c r="E116" i="17"/>
  <c r="F116" i="17" s="1"/>
  <c r="G116" i="17" s="1"/>
  <c r="H116" i="17" s="1"/>
  <c r="I116" i="17" s="1"/>
  <c r="J116" i="17" s="1"/>
  <c r="K116" i="17" s="1"/>
  <c r="E130" i="17"/>
  <c r="F130" i="17" s="1"/>
  <c r="G130" i="17" s="1"/>
  <c r="H130" i="17" s="1"/>
  <c r="I130" i="17" s="1"/>
  <c r="J130" i="17" s="1"/>
  <c r="K130" i="17" s="1"/>
  <c r="E102" i="17"/>
  <c r="F102" i="17" s="1"/>
  <c r="G102" i="17" s="1"/>
  <c r="H102" i="17" s="1"/>
  <c r="I102" i="17" s="1"/>
  <c r="J102" i="17" s="1"/>
  <c r="K102" i="17" s="1"/>
  <c r="E109" i="17"/>
  <c r="F109" i="17" s="1"/>
  <c r="G109" i="17" s="1"/>
  <c r="H109" i="17" s="1"/>
  <c r="I109" i="17" s="1"/>
  <c r="J109" i="17" s="1"/>
  <c r="K109" i="17" s="1"/>
  <c r="E81" i="17"/>
  <c r="F81" i="17" s="1"/>
  <c r="G81" i="17" s="1"/>
  <c r="H81" i="17" s="1"/>
  <c r="I81" i="17" s="1"/>
  <c r="J81" i="17" s="1"/>
  <c r="K81" i="17" s="1"/>
  <c r="E95" i="17"/>
  <c r="F95" i="17" s="1"/>
  <c r="G95" i="17" s="1"/>
  <c r="H95" i="17" s="1"/>
  <c r="I95" i="17" s="1"/>
  <c r="J95" i="17" s="1"/>
  <c r="K95" i="17" s="1"/>
  <c r="E67" i="17"/>
  <c r="F67" i="17" s="1"/>
  <c r="G67" i="17" s="1"/>
  <c r="H67" i="17" s="1"/>
  <c r="I67" i="17" s="1"/>
  <c r="J67" i="17" s="1"/>
  <c r="K67" i="17" s="1"/>
  <c r="E74" i="17"/>
  <c r="F74" i="17" s="1"/>
  <c r="G74" i="17" s="1"/>
  <c r="H74" i="17" s="1"/>
  <c r="I74" i="17" s="1"/>
  <c r="J74" i="17" s="1"/>
  <c r="K74" i="17" s="1"/>
  <c r="E123" i="17"/>
  <c r="F123" i="17" s="1"/>
  <c r="G123" i="17" s="1"/>
  <c r="H123" i="17" s="1"/>
  <c r="I123" i="17" s="1"/>
  <c r="J123" i="17" s="1"/>
  <c r="K123" i="17" s="1"/>
  <c r="E165" i="17"/>
  <c r="F165" i="17" s="1"/>
  <c r="G165" i="17" s="1"/>
  <c r="H165" i="17" s="1"/>
  <c r="I165" i="17" s="1"/>
  <c r="J165" i="17" s="1"/>
  <c r="K165" i="17" s="1"/>
  <c r="E60" i="17"/>
  <c r="F60" i="17" s="1"/>
  <c r="G60" i="17" s="1"/>
  <c r="H60" i="17" s="1"/>
  <c r="I60" i="17" s="1"/>
  <c r="J60" i="17" s="1"/>
  <c r="K60" i="17" s="1"/>
  <c r="E88" i="17"/>
  <c r="F88" i="17" s="1"/>
  <c r="G88" i="17" s="1"/>
  <c r="H88" i="17" s="1"/>
  <c r="I88" i="17" s="1"/>
  <c r="J88" i="17" s="1"/>
  <c r="K88" i="17" s="1"/>
  <c r="E46" i="17"/>
  <c r="F46" i="17" s="1"/>
  <c r="G46" i="17" s="1"/>
  <c r="H46" i="17" s="1"/>
  <c r="I46" i="17" s="1"/>
  <c r="J46" i="17" s="1"/>
  <c r="K46" i="17" s="1"/>
  <c r="E53" i="17"/>
  <c r="F53" i="17" s="1"/>
  <c r="G53" i="17" s="1"/>
  <c r="H53" i="17" s="1"/>
  <c r="I53" i="17" s="1"/>
  <c r="J53" i="17" s="1"/>
  <c r="K53" i="17" s="1"/>
  <c r="E32" i="17"/>
  <c r="F32" i="17" s="1"/>
  <c r="G32" i="17" s="1"/>
  <c r="H32" i="17" s="1"/>
  <c r="I32" i="17" s="1"/>
  <c r="J32" i="17" s="1"/>
  <c r="K32" i="17" s="1"/>
  <c r="E39" i="17"/>
  <c r="F39" i="17" s="1"/>
  <c r="G39" i="17" s="1"/>
  <c r="H39" i="17" s="1"/>
  <c r="I39" i="17" s="1"/>
  <c r="J39" i="17" s="1"/>
  <c r="K39" i="17" s="1"/>
  <c r="E18" i="17"/>
  <c r="F18" i="17" s="1"/>
  <c r="G18" i="17" s="1"/>
  <c r="H18" i="17" s="1"/>
  <c r="I18" i="17" s="1"/>
  <c r="J18" i="17" s="1"/>
  <c r="K18" i="17" s="1"/>
  <c r="E25" i="17"/>
  <c r="F25" i="17" s="1"/>
  <c r="G25" i="17" s="1"/>
  <c r="H25" i="17" s="1"/>
  <c r="I25" i="17" s="1"/>
  <c r="J25" i="17" s="1"/>
  <c r="K25" i="17" s="1"/>
  <c r="E205" i="17"/>
  <c r="F205" i="17" s="1"/>
  <c r="G205" i="17" s="1"/>
  <c r="H205" i="17" s="1"/>
  <c r="I205" i="17" s="1"/>
  <c r="J205" i="17" s="1"/>
  <c r="K205" i="17" s="1"/>
  <c r="E212" i="17"/>
  <c r="F212" i="17" s="1"/>
  <c r="G212" i="17" s="1"/>
  <c r="H212" i="17" s="1"/>
  <c r="I212" i="17" s="1"/>
  <c r="J212" i="17" s="1"/>
  <c r="K212" i="17" s="1"/>
  <c r="E191" i="17"/>
  <c r="F191" i="17" s="1"/>
  <c r="G191" i="17" s="1"/>
  <c r="H191" i="17" s="1"/>
  <c r="I191" i="17" s="1"/>
  <c r="J191" i="17" s="1"/>
  <c r="E198" i="17"/>
  <c r="F198" i="17" s="1"/>
  <c r="G198" i="17" s="1"/>
  <c r="H198" i="17" s="1"/>
  <c r="I198" i="17" s="1"/>
  <c r="J198" i="17" s="1"/>
  <c r="K198" i="17" s="1"/>
  <c r="E177" i="17"/>
  <c r="F177" i="17" s="1"/>
  <c r="G177" i="17" s="1"/>
  <c r="H177" i="17" s="1"/>
  <c r="I177" i="17" s="1"/>
  <c r="J177" i="17" s="1"/>
  <c r="K177" i="17" s="1"/>
  <c r="E184" i="17"/>
  <c r="F184" i="17" s="1"/>
  <c r="G184" i="17" s="1"/>
  <c r="H184" i="17" s="1"/>
  <c r="I184" i="17" s="1"/>
  <c r="J184" i="17" s="1"/>
  <c r="K184" i="17" s="1"/>
  <c r="E163" i="17"/>
  <c r="F163" i="17" s="1"/>
  <c r="G163" i="17" s="1"/>
  <c r="H163" i="17" s="1"/>
  <c r="I163" i="17" s="1"/>
  <c r="J163" i="17" s="1"/>
  <c r="K163" i="17" s="1"/>
  <c r="E170" i="17"/>
  <c r="F170" i="17" s="1"/>
  <c r="G170" i="17" s="1"/>
  <c r="H170" i="17" s="1"/>
  <c r="I170" i="17" s="1"/>
  <c r="J170" i="17" s="1"/>
  <c r="K170" i="17" s="1"/>
  <c r="E149" i="17"/>
  <c r="F149" i="17" s="1"/>
  <c r="G149" i="17" s="1"/>
  <c r="H149" i="17" s="1"/>
  <c r="I149" i="17" s="1"/>
  <c r="J149" i="17" s="1"/>
  <c r="K149" i="17" s="1"/>
  <c r="E156" i="17"/>
  <c r="F156" i="17" s="1"/>
  <c r="G156" i="17" s="1"/>
  <c r="H156" i="17" s="1"/>
  <c r="I156" i="17" s="1"/>
  <c r="J156" i="17" s="1"/>
  <c r="K156" i="17" s="1"/>
  <c r="E135" i="17"/>
  <c r="F135" i="17" s="1"/>
  <c r="G135" i="17" s="1"/>
  <c r="H135" i="17" s="1"/>
  <c r="I135" i="17" s="1"/>
  <c r="J135" i="17" s="1"/>
  <c r="E142" i="17"/>
  <c r="F142" i="17" s="1"/>
  <c r="G142" i="17" s="1"/>
  <c r="H142" i="17" s="1"/>
  <c r="I142" i="17" s="1"/>
  <c r="J142" i="17" s="1"/>
  <c r="K142" i="17" s="1"/>
  <c r="E121" i="17"/>
  <c r="F121" i="17" s="1"/>
  <c r="G121" i="17" s="1"/>
  <c r="H121" i="17" s="1"/>
  <c r="I121" i="17" s="1"/>
  <c r="J121" i="17" s="1"/>
  <c r="K121" i="17" s="1"/>
  <c r="E128" i="17"/>
  <c r="F128" i="17" s="1"/>
  <c r="G128" i="17" s="1"/>
  <c r="H128" i="17" s="1"/>
  <c r="I128" i="17" s="1"/>
  <c r="J128" i="17" s="1"/>
  <c r="K128" i="17" s="1"/>
  <c r="E107" i="17"/>
  <c r="F107" i="17" s="1"/>
  <c r="G107" i="17" s="1"/>
  <c r="H107" i="17" s="1"/>
  <c r="I107" i="17" s="1"/>
  <c r="J107" i="17" s="1"/>
  <c r="K107" i="17" s="1"/>
  <c r="E114" i="17"/>
  <c r="F114" i="17" s="1"/>
  <c r="G114" i="17" s="1"/>
  <c r="H114" i="17" s="1"/>
  <c r="I114" i="17" s="1"/>
  <c r="J114" i="17" s="1"/>
  <c r="K114" i="17" s="1"/>
  <c r="E93" i="17"/>
  <c r="F93" i="17" s="1"/>
  <c r="G93" i="17" s="1"/>
  <c r="H93" i="17" s="1"/>
  <c r="I93" i="17" s="1"/>
  <c r="J93" i="17" s="1"/>
  <c r="K93" i="17" s="1"/>
  <c r="E100" i="17"/>
  <c r="F100" i="17" s="1"/>
  <c r="G100" i="17" s="1"/>
  <c r="H100" i="17" s="1"/>
  <c r="I100" i="17" s="1"/>
  <c r="J100" i="17" s="1"/>
  <c r="K100" i="17" s="1"/>
  <c r="E79" i="17"/>
  <c r="F79" i="17" s="1"/>
  <c r="G79" i="17" s="1"/>
  <c r="H79" i="17" s="1"/>
  <c r="I79" i="17" s="1"/>
  <c r="J79" i="17" s="1"/>
  <c r="K79" i="17" s="1"/>
  <c r="E86" i="17"/>
  <c r="F86" i="17" s="1"/>
  <c r="G86" i="17" s="1"/>
  <c r="H86" i="17" s="1"/>
  <c r="I86" i="17" s="1"/>
  <c r="J86" i="17" s="1"/>
  <c r="K86" i="17" s="1"/>
  <c r="E65" i="17"/>
  <c r="F65" i="17" s="1"/>
  <c r="G65" i="17" s="1"/>
  <c r="H65" i="17" s="1"/>
  <c r="I65" i="17" s="1"/>
  <c r="J65" i="17" s="1"/>
  <c r="K65" i="17" s="1"/>
  <c r="E72" i="17"/>
  <c r="F72" i="17" s="1"/>
  <c r="G72" i="17" s="1"/>
  <c r="H72" i="17" s="1"/>
  <c r="I72" i="17" s="1"/>
  <c r="J72" i="17" s="1"/>
  <c r="K72" i="17" s="1"/>
  <c r="E51" i="17"/>
  <c r="F51" i="17" s="1"/>
  <c r="G51" i="17" s="1"/>
  <c r="H51" i="17" s="1"/>
  <c r="I51" i="17" s="1"/>
  <c r="J51" i="17" s="1"/>
  <c r="K51" i="17" s="1"/>
  <c r="E58" i="17"/>
  <c r="F58" i="17" s="1"/>
  <c r="G58" i="17" s="1"/>
  <c r="H58" i="17" s="1"/>
  <c r="I58" i="17" s="1"/>
  <c r="J58" i="17" s="1"/>
  <c r="K58" i="17" s="1"/>
  <c r="E37" i="17"/>
  <c r="F37" i="17" s="1"/>
  <c r="G37" i="17" s="1"/>
  <c r="H37" i="17" s="1"/>
  <c r="I37" i="17" s="1"/>
  <c r="J37" i="17" s="1"/>
  <c r="E44" i="17"/>
  <c r="F44" i="17" s="1"/>
  <c r="G44" i="17" s="1"/>
  <c r="H44" i="17" s="1"/>
  <c r="I44" i="17" s="1"/>
  <c r="J44" i="17" s="1"/>
  <c r="K44" i="17" s="1"/>
  <c r="E23" i="17"/>
  <c r="F23" i="17" s="1"/>
  <c r="G23" i="17" s="1"/>
  <c r="H23" i="17" s="1"/>
  <c r="I23" i="17" s="1"/>
  <c r="J23" i="17" s="1"/>
  <c r="K23" i="17" s="1"/>
  <c r="E30" i="17"/>
  <c r="F30" i="17" s="1"/>
  <c r="G30" i="17" s="1"/>
  <c r="H30" i="17" s="1"/>
  <c r="I30" i="17" s="1"/>
  <c r="J30" i="17" s="1"/>
  <c r="K30" i="17" s="1"/>
  <c r="E209" i="17"/>
  <c r="F209" i="17" s="1"/>
  <c r="G209" i="17" s="1"/>
  <c r="H209" i="17" s="1"/>
  <c r="I209" i="17" s="1"/>
  <c r="J209" i="17" s="1"/>
  <c r="K209" i="17" s="1"/>
  <c r="E195" i="17"/>
  <c r="F195" i="17" s="1"/>
  <c r="G195" i="17" s="1"/>
  <c r="H195" i="17" s="1"/>
  <c r="I195" i="17" s="1"/>
  <c r="J195" i="17" s="1"/>
  <c r="K195" i="17" s="1"/>
  <c r="E202" i="17"/>
  <c r="F202" i="17" s="1"/>
  <c r="G202" i="17" s="1"/>
  <c r="H202" i="17" s="1"/>
  <c r="I202" i="17" s="1"/>
  <c r="J202" i="17" s="1"/>
  <c r="K202" i="17" s="1"/>
  <c r="E181" i="17"/>
  <c r="F181" i="17" s="1"/>
  <c r="G181" i="17" s="1"/>
  <c r="H181" i="17" s="1"/>
  <c r="I181" i="17" s="1"/>
  <c r="J181" i="17" s="1"/>
  <c r="E188" i="17"/>
  <c r="F188" i="17" s="1"/>
  <c r="G188" i="17" s="1"/>
  <c r="H188" i="17" s="1"/>
  <c r="I188" i="17" s="1"/>
  <c r="J188" i="17" s="1"/>
  <c r="K188" i="17" s="1"/>
  <c r="E167" i="17"/>
  <c r="F167" i="17" s="1"/>
  <c r="G167" i="17" s="1"/>
  <c r="H167" i="17" s="1"/>
  <c r="I167" i="17" s="1"/>
  <c r="J167" i="17" s="1"/>
  <c r="K167" i="17" s="1"/>
  <c r="E174" i="17"/>
  <c r="F174" i="17" s="1"/>
  <c r="G174" i="17" s="1"/>
  <c r="H174" i="17" s="1"/>
  <c r="I174" i="17" s="1"/>
  <c r="J174" i="17" s="1"/>
  <c r="K174" i="17" s="1"/>
  <c r="E139" i="17"/>
  <c r="F139" i="17" s="1"/>
  <c r="G139" i="17" s="1"/>
  <c r="H139" i="17" s="1"/>
  <c r="I139" i="17" s="1"/>
  <c r="J139" i="17" s="1"/>
  <c r="E146" i="17"/>
  <c r="F146" i="17" s="1"/>
  <c r="G146" i="17" s="1"/>
  <c r="H146" i="17" s="1"/>
  <c r="I146" i="17" s="1"/>
  <c r="J146" i="17" s="1"/>
  <c r="K146" i="17" s="1"/>
  <c r="E125" i="17"/>
  <c r="F125" i="17" s="1"/>
  <c r="G125" i="17" s="1"/>
  <c r="H125" i="17" s="1"/>
  <c r="I125" i="17" s="1"/>
  <c r="J125" i="17" s="1"/>
  <c r="K125" i="17" s="1"/>
  <c r="E132" i="17"/>
  <c r="F132" i="17" s="1"/>
  <c r="G132" i="17" s="1"/>
  <c r="H132" i="17" s="1"/>
  <c r="I132" i="17" s="1"/>
  <c r="J132" i="17" s="1"/>
  <c r="K132" i="17" s="1"/>
  <c r="E97" i="17"/>
  <c r="F97" i="17" s="1"/>
  <c r="G97" i="17" s="1"/>
  <c r="H97" i="17" s="1"/>
  <c r="I97" i="17" s="1"/>
  <c r="J97" i="17" s="1"/>
  <c r="K97" i="17" s="1"/>
  <c r="E104" i="17"/>
  <c r="F104" i="17" s="1"/>
  <c r="G104" i="17" s="1"/>
  <c r="H104" i="17" s="1"/>
  <c r="I104" i="17" s="1"/>
  <c r="J104" i="17" s="1"/>
  <c r="K104" i="17" s="1"/>
  <c r="E76" i="17"/>
  <c r="F76" i="17" s="1"/>
  <c r="G76" i="17" s="1"/>
  <c r="H76" i="17" s="1"/>
  <c r="I76" i="17" s="1"/>
  <c r="J76" i="17" s="1"/>
  <c r="K76" i="17" s="1"/>
  <c r="E90" i="17"/>
  <c r="F90" i="17" s="1"/>
  <c r="G90" i="17" s="1"/>
  <c r="H90" i="17" s="1"/>
  <c r="I90" i="17" s="1"/>
  <c r="J90" i="17" s="1"/>
  <c r="K90" i="17" s="1"/>
  <c r="E62" i="17"/>
  <c r="F62" i="17" s="1"/>
  <c r="G62" i="17" s="1"/>
  <c r="H62" i="17" s="1"/>
  <c r="I62" i="17" s="1"/>
  <c r="J62" i="17" s="1"/>
  <c r="K62" i="17" s="1"/>
  <c r="E69" i="17"/>
  <c r="F69" i="17" s="1"/>
  <c r="G69" i="17" s="1"/>
  <c r="H69" i="17" s="1"/>
  <c r="I69" i="17" s="1"/>
  <c r="J69" i="17" s="1"/>
  <c r="E48" i="17"/>
  <c r="F48" i="17" s="1"/>
  <c r="G48" i="17" s="1"/>
  <c r="H48" i="17" s="1"/>
  <c r="I48" i="17" s="1"/>
  <c r="J48" i="17" s="1"/>
  <c r="E55" i="17"/>
  <c r="F55" i="17" s="1"/>
  <c r="G55" i="17" s="1"/>
  <c r="H55" i="17" s="1"/>
  <c r="I55" i="17" s="1"/>
  <c r="J55" i="17" s="1"/>
  <c r="K55" i="17" s="1"/>
  <c r="E34" i="17"/>
  <c r="F34" i="17" s="1"/>
  <c r="G34" i="17" s="1"/>
  <c r="H34" i="17" s="1"/>
  <c r="I34" i="17" s="1"/>
  <c r="J34" i="17" s="1"/>
  <c r="K34" i="17" s="1"/>
  <c r="E41" i="17"/>
  <c r="F41" i="17" s="1"/>
  <c r="G41" i="17" s="1"/>
  <c r="H41" i="17" s="1"/>
  <c r="I41" i="17" s="1"/>
  <c r="J41" i="17" s="1"/>
  <c r="E20" i="17"/>
  <c r="F20" i="17" s="1"/>
  <c r="G20" i="17" s="1"/>
  <c r="H20" i="17" s="1"/>
  <c r="I20" i="17" s="1"/>
  <c r="J20" i="17" s="1"/>
  <c r="K20" i="17" s="1"/>
  <c r="E27" i="17"/>
  <c r="F27" i="17" s="1"/>
  <c r="G27" i="17" s="1"/>
  <c r="H27" i="17" s="1"/>
  <c r="I27" i="17" s="1"/>
  <c r="J27" i="17" s="1"/>
  <c r="E153" i="17"/>
  <c r="F153" i="17" s="1"/>
  <c r="G153" i="17" s="1"/>
  <c r="H153" i="17" s="1"/>
  <c r="I153" i="17" s="1"/>
  <c r="J153" i="17" s="1"/>
  <c r="K153" i="17" s="1"/>
  <c r="E160" i="17"/>
  <c r="F160" i="17" s="1"/>
  <c r="G160" i="17" s="1"/>
  <c r="H160" i="17" s="1"/>
  <c r="I160" i="17" s="1"/>
  <c r="J160" i="17" s="1"/>
  <c r="K160" i="17" s="1"/>
  <c r="E111" i="17"/>
  <c r="F111" i="17" s="1"/>
  <c r="G111" i="17" s="1"/>
  <c r="H111" i="17" s="1"/>
  <c r="I111" i="17" s="1"/>
  <c r="J111" i="17" s="1"/>
  <c r="K111" i="17" s="1"/>
  <c r="E118" i="17"/>
  <c r="F118" i="17" s="1"/>
  <c r="G118" i="17" s="1"/>
  <c r="H118" i="17" s="1"/>
  <c r="I118" i="17" s="1"/>
  <c r="J118" i="17" s="1"/>
  <c r="K118" i="17" s="1"/>
  <c r="E208" i="17"/>
  <c r="E83" i="17"/>
  <c r="F83" i="17" s="1"/>
  <c r="G83" i="17" s="1"/>
  <c r="H83" i="17" s="1"/>
  <c r="I83" i="17" s="1"/>
  <c r="J83" i="17" s="1"/>
  <c r="K83" i="17" s="1"/>
  <c r="E194" i="17"/>
  <c r="E201" i="17"/>
  <c r="E180" i="17"/>
  <c r="E187" i="17"/>
  <c r="E166" i="17"/>
  <c r="E173" i="17"/>
  <c r="E145" i="17"/>
  <c r="E131" i="17"/>
  <c r="E138" i="17"/>
  <c r="E117" i="17"/>
  <c r="E124" i="17"/>
  <c r="E103" i="17"/>
  <c r="E89" i="17"/>
  <c r="E96" i="17"/>
  <c r="E68" i="17"/>
  <c r="E75" i="17"/>
  <c r="E54" i="17"/>
  <c r="E61" i="17"/>
  <c r="E40" i="17"/>
  <c r="E47" i="17"/>
  <c r="E26" i="17"/>
  <c r="E33" i="17"/>
  <c r="B36" i="14"/>
  <c r="E19" i="17"/>
  <c r="E36" i="14"/>
  <c r="D36" i="14"/>
  <c r="C29" i="14"/>
  <c r="C36" i="14"/>
  <c r="G35" i="14"/>
  <c r="C35" i="14"/>
  <c r="F35" i="14"/>
  <c r="B35" i="14"/>
  <c r="E35" i="14"/>
  <c r="D35" i="14"/>
  <c r="F29" i="14"/>
  <c r="F36" i="14"/>
  <c r="G29" i="14"/>
  <c r="G36" i="14"/>
  <c r="G30" i="14"/>
  <c r="C30" i="14"/>
  <c r="B30" i="14"/>
  <c r="E30" i="14"/>
  <c r="F30" i="14"/>
  <c r="D30" i="14"/>
  <c r="B29" i="14"/>
  <c r="E29" i="14"/>
  <c r="D29" i="14"/>
  <c r="E13" i="17"/>
  <c r="F13" i="17" s="1"/>
  <c r="G13" i="17" s="1"/>
  <c r="H13" i="17" s="1"/>
  <c r="I13" i="17" s="1"/>
  <c r="J13" i="17" s="1"/>
  <c r="K13" i="17" s="1"/>
  <c r="E16" i="17"/>
  <c r="F16" i="17" s="1"/>
  <c r="G16" i="17" s="1"/>
  <c r="H16" i="17" s="1"/>
  <c r="I16" i="17" s="1"/>
  <c r="J16" i="17" s="1"/>
  <c r="K16" i="17" s="1"/>
  <c r="E48" i="19"/>
  <c r="F48" i="19" s="1"/>
  <c r="G48" i="19" s="1"/>
  <c r="H48" i="19" s="1"/>
  <c r="I48" i="19" s="1"/>
  <c r="J48" i="19" s="1"/>
  <c r="K48" i="19" s="1"/>
  <c r="E12" i="17"/>
  <c r="E173" i="19"/>
  <c r="E159" i="19"/>
  <c r="E138" i="19"/>
  <c r="E145" i="19"/>
  <c r="E117" i="19"/>
  <c r="E131" i="19"/>
  <c r="E103" i="19"/>
  <c r="E166" i="19"/>
  <c r="E96" i="19"/>
  <c r="E89" i="19"/>
  <c r="E124" i="19"/>
  <c r="E75" i="19"/>
  <c r="E61" i="19"/>
  <c r="E68" i="19"/>
  <c r="E47" i="19"/>
  <c r="E54" i="19"/>
  <c r="E43" i="19"/>
  <c r="F43" i="19" s="1"/>
  <c r="G43" i="19" s="1"/>
  <c r="H43" i="19" s="1"/>
  <c r="I43" i="19" s="1"/>
  <c r="J43" i="19" s="1"/>
  <c r="E46" i="19"/>
  <c r="F46" i="19" s="1"/>
  <c r="G46" i="19" s="1"/>
  <c r="H46" i="19" s="1"/>
  <c r="I46" i="19" s="1"/>
  <c r="J46" i="19" s="1"/>
  <c r="K46" i="19" s="1"/>
  <c r="E44" i="19"/>
  <c r="F44" i="19" s="1"/>
  <c r="G44" i="19" s="1"/>
  <c r="H44" i="19" s="1"/>
  <c r="I44" i="19" s="1"/>
  <c r="J44" i="19" s="1"/>
  <c r="K44" i="19" s="1"/>
  <c r="E41" i="19"/>
  <c r="F41" i="19" s="1"/>
  <c r="G41" i="19" s="1"/>
  <c r="H41" i="19" s="1"/>
  <c r="I41" i="19" s="1"/>
  <c r="J41" i="19" s="1"/>
  <c r="K41" i="19" s="1"/>
  <c r="E39" i="19"/>
  <c r="F39" i="19" s="1"/>
  <c r="G39" i="19" s="1"/>
  <c r="H39" i="19" s="1"/>
  <c r="I39" i="19" s="1"/>
  <c r="J39" i="19" s="1"/>
  <c r="K39" i="19" s="1"/>
  <c r="E40" i="19"/>
  <c r="E34" i="19"/>
  <c r="F34" i="19" s="1"/>
  <c r="G34" i="19" s="1"/>
  <c r="H34" i="19" s="1"/>
  <c r="I34" i="19" s="1"/>
  <c r="J34" i="19" s="1"/>
  <c r="K34" i="19" s="1"/>
  <c r="E36" i="19"/>
  <c r="F36" i="19" s="1"/>
  <c r="G36" i="19" s="1"/>
  <c r="H36" i="19" s="1"/>
  <c r="I36" i="19" s="1"/>
  <c r="J36" i="19" s="1"/>
  <c r="K36" i="19" s="1"/>
  <c r="E37" i="19"/>
  <c r="F37" i="19" s="1"/>
  <c r="G37" i="19" s="1"/>
  <c r="H37" i="19" s="1"/>
  <c r="I37" i="19" s="1"/>
  <c r="J37" i="19" s="1"/>
  <c r="K37" i="19" s="1"/>
  <c r="E33" i="19"/>
  <c r="E30" i="19"/>
  <c r="F30" i="19" s="1"/>
  <c r="G30" i="19" s="1"/>
  <c r="H30" i="19" s="1"/>
  <c r="I30" i="19" s="1"/>
  <c r="J30" i="19" s="1"/>
  <c r="K30" i="19" s="1"/>
  <c r="E32" i="19"/>
  <c r="F32" i="19" s="1"/>
  <c r="G32" i="19" s="1"/>
  <c r="H32" i="19" s="1"/>
  <c r="I32" i="19" s="1"/>
  <c r="J32" i="19" s="1"/>
  <c r="K32" i="19" s="1"/>
  <c r="E27" i="19"/>
  <c r="F27" i="19" s="1"/>
  <c r="G27" i="19" s="1"/>
  <c r="H27" i="19" s="1"/>
  <c r="I27" i="19" s="1"/>
  <c r="J27" i="19" s="1"/>
  <c r="K27" i="19" s="1"/>
  <c r="E29" i="19"/>
  <c r="F29" i="19" s="1"/>
  <c r="G29" i="19" s="1"/>
  <c r="H29" i="19" s="1"/>
  <c r="I29" i="19" s="1"/>
  <c r="J29" i="19" s="1"/>
  <c r="K29" i="19" s="1"/>
  <c r="E23" i="19"/>
  <c r="F23" i="19" s="1"/>
  <c r="G23" i="19" s="1"/>
  <c r="H23" i="19" s="1"/>
  <c r="I23" i="19" s="1"/>
  <c r="J23" i="19" s="1"/>
  <c r="K23" i="19" s="1"/>
  <c r="E25" i="19"/>
  <c r="F25" i="19" s="1"/>
  <c r="G25" i="19" s="1"/>
  <c r="H25" i="19" s="1"/>
  <c r="I25" i="19" s="1"/>
  <c r="J25" i="19" s="1"/>
  <c r="K25" i="19" s="1"/>
  <c r="E20" i="19"/>
  <c r="F20" i="19" s="1"/>
  <c r="G20" i="19" s="1"/>
  <c r="H20" i="19" s="1"/>
  <c r="I20" i="19" s="1"/>
  <c r="J20" i="19" s="1"/>
  <c r="K20" i="19" s="1"/>
  <c r="E22" i="19"/>
  <c r="F22" i="19" s="1"/>
  <c r="G22" i="19" s="1"/>
  <c r="H22" i="19" s="1"/>
  <c r="I22" i="19" s="1"/>
  <c r="J22" i="19" s="1"/>
  <c r="K22" i="19" s="1"/>
  <c r="E18" i="19"/>
  <c r="F18" i="19" s="1"/>
  <c r="G18" i="19" s="1"/>
  <c r="H18" i="19" s="1"/>
  <c r="I18" i="19" s="1"/>
  <c r="J18" i="19" s="1"/>
  <c r="K18" i="19" s="1"/>
  <c r="E19" i="19"/>
  <c r="E15" i="19"/>
  <c r="F15" i="19" s="1"/>
  <c r="G15" i="19" s="1"/>
  <c r="H15" i="19" s="1"/>
  <c r="I15" i="19" s="1"/>
  <c r="J15" i="19" s="1"/>
  <c r="K15" i="19" s="1"/>
  <c r="E16" i="19"/>
  <c r="F16" i="19" s="1"/>
  <c r="G16" i="19" s="1"/>
  <c r="H16" i="19" s="1"/>
  <c r="I16" i="19" s="1"/>
  <c r="J16" i="19" s="1"/>
  <c r="K16" i="19" s="1"/>
  <c r="E13" i="19"/>
  <c r="F13" i="19" s="1"/>
  <c r="G13" i="19" s="1"/>
  <c r="H13" i="19" s="1"/>
  <c r="I13" i="19" s="1"/>
  <c r="J13" i="19" s="1"/>
  <c r="K13" i="19" s="1"/>
  <c r="E17" i="19"/>
  <c r="F17" i="19" s="1"/>
  <c r="G17" i="19" s="1"/>
  <c r="H17" i="19" s="1"/>
  <c r="I17" i="19" s="1"/>
  <c r="J17" i="19" s="1"/>
  <c r="K17" i="19" s="1"/>
  <c r="E206" i="19"/>
  <c r="E178" i="19"/>
  <c r="E150" i="19"/>
  <c r="E122" i="19"/>
  <c r="E94" i="19"/>
  <c r="E66" i="19"/>
  <c r="E38" i="19"/>
  <c r="E213" i="19"/>
  <c r="E185" i="19"/>
  <c r="E157" i="19"/>
  <c r="E129" i="19"/>
  <c r="E101" i="19"/>
  <c r="E73" i="19"/>
  <c r="E45" i="19"/>
  <c r="E31" i="19"/>
  <c r="E192" i="19"/>
  <c r="E164" i="19"/>
  <c r="E136" i="19"/>
  <c r="E108" i="19"/>
  <c r="E80" i="19"/>
  <c r="E52" i="19"/>
  <c r="E24" i="19"/>
  <c r="E199" i="19"/>
  <c r="E171" i="19"/>
  <c r="E143" i="19"/>
  <c r="E115" i="19"/>
  <c r="E87" i="19"/>
  <c r="E59" i="19"/>
  <c r="E17" i="17"/>
  <c r="E206" i="17"/>
  <c r="E213" i="17"/>
  <c r="E185" i="17"/>
  <c r="E157" i="17"/>
  <c r="E129" i="17"/>
  <c r="E101" i="17"/>
  <c r="E73" i="17"/>
  <c r="E45" i="17"/>
  <c r="E199" i="17"/>
  <c r="E143" i="17"/>
  <c r="E87" i="17"/>
  <c r="E31" i="17"/>
  <c r="E150" i="17"/>
  <c r="E94" i="17"/>
  <c r="E38" i="17"/>
  <c r="E192" i="17"/>
  <c r="E164" i="17"/>
  <c r="E136" i="17"/>
  <c r="E108" i="17"/>
  <c r="E80" i="17"/>
  <c r="E52" i="17"/>
  <c r="E24" i="17"/>
  <c r="E171" i="17"/>
  <c r="E115" i="17"/>
  <c r="E59" i="17"/>
  <c r="E178" i="17"/>
  <c r="E122" i="17"/>
  <c r="E66" i="17"/>
  <c r="E9" i="19"/>
  <c r="E12" i="19"/>
  <c r="E10" i="19"/>
  <c r="F10" i="19" s="1"/>
  <c r="E11" i="19"/>
  <c r="F11" i="19" s="1"/>
  <c r="G11" i="19" s="1"/>
  <c r="H11" i="19" s="1"/>
  <c r="I11" i="19" s="1"/>
  <c r="J11" i="19" s="1"/>
  <c r="K11" i="19" s="1"/>
  <c r="E10" i="17"/>
  <c r="F10" i="17" s="1"/>
  <c r="G10" i="17" s="1"/>
  <c r="H10" i="17" s="1"/>
  <c r="I10" i="17" s="1"/>
  <c r="J10" i="17" s="1"/>
  <c r="K10" i="17" s="1"/>
  <c r="E11" i="17"/>
  <c r="F11" i="17" s="1"/>
  <c r="G11" i="17" s="1"/>
  <c r="H11" i="17" s="1"/>
  <c r="I11" i="17" s="1"/>
  <c r="J11" i="17" s="1"/>
  <c r="K11" i="17" s="1"/>
  <c r="E9" i="17"/>
  <c r="G55" i="14"/>
  <c r="C55" i="14"/>
  <c r="F55" i="14"/>
  <c r="T38" i="13"/>
  <c r="T37" i="13"/>
  <c r="E7" i="14"/>
  <c r="T68" i="13"/>
  <c r="T15" i="13"/>
  <c r="T39" i="13"/>
  <c r="B5" i="14"/>
  <c r="E49" i="14"/>
  <c r="G43" i="14"/>
  <c r="G41" i="14"/>
  <c r="E23" i="14"/>
  <c r="C17" i="14"/>
  <c r="E11" i="14"/>
  <c r="C10" i="14"/>
  <c r="G8" i="14"/>
  <c r="C8" i="14"/>
  <c r="G6" i="14"/>
  <c r="C6" i="14"/>
  <c r="E5" i="14"/>
  <c r="G48" i="14"/>
  <c r="C43" i="14"/>
  <c r="C41" i="14"/>
  <c r="C24" i="14"/>
  <c r="G17" i="14"/>
  <c r="C12" i="14"/>
  <c r="E9" i="14"/>
  <c r="B55" i="14"/>
  <c r="D54" i="14"/>
  <c r="D49" i="14"/>
  <c r="F48" i="14"/>
  <c r="B48" i="14"/>
  <c r="F43" i="14"/>
  <c r="B43" i="14"/>
  <c r="D42" i="14"/>
  <c r="F41" i="14"/>
  <c r="B41" i="14"/>
  <c r="F24" i="14"/>
  <c r="B24" i="14"/>
  <c r="D23" i="14"/>
  <c r="D18" i="14"/>
  <c r="F17" i="14"/>
  <c r="B17" i="14"/>
  <c r="F12" i="14"/>
  <c r="B12" i="14"/>
  <c r="D11" i="14"/>
  <c r="F10" i="14"/>
  <c r="B10" i="14"/>
  <c r="D9" i="14"/>
  <c r="F8" i="14"/>
  <c r="D7" i="14"/>
  <c r="F6" i="14"/>
  <c r="B6" i="14"/>
  <c r="D5" i="14"/>
  <c r="E54" i="14"/>
  <c r="C48" i="14"/>
  <c r="E42" i="14"/>
  <c r="G24" i="14"/>
  <c r="E18" i="14"/>
  <c r="G12" i="14"/>
  <c r="G10" i="14"/>
  <c r="E55" i="14"/>
  <c r="G54" i="14"/>
  <c r="C54" i="14"/>
  <c r="G49" i="14"/>
  <c r="C49" i="14"/>
  <c r="E48" i="14"/>
  <c r="E43" i="14"/>
  <c r="G42" i="14"/>
  <c r="C42" i="14"/>
  <c r="E41" i="14"/>
  <c r="E24" i="14"/>
  <c r="G23" i="14"/>
  <c r="C23" i="14"/>
  <c r="G18" i="14"/>
  <c r="C18" i="14"/>
  <c r="E17" i="14"/>
  <c r="E12" i="14"/>
  <c r="G11" i="14"/>
  <c r="C11" i="14"/>
  <c r="E10" i="14"/>
  <c r="G9" i="14"/>
  <c r="C9" i="14"/>
  <c r="E8" i="14"/>
  <c r="G7" i="14"/>
  <c r="C7" i="14"/>
  <c r="E6" i="14"/>
  <c r="G5" i="14"/>
  <c r="C5" i="14"/>
  <c r="D55" i="14"/>
  <c r="F54" i="14"/>
  <c r="B54" i="14"/>
  <c r="F49" i="14"/>
  <c r="B49" i="14"/>
  <c r="D48" i="14"/>
  <c r="D43" i="14"/>
  <c r="F42" i="14"/>
  <c r="B42" i="14"/>
  <c r="D41" i="14"/>
  <c r="D24" i="14"/>
  <c r="F23" i="14"/>
  <c r="B23" i="14"/>
  <c r="F18" i="14"/>
  <c r="B18" i="14"/>
  <c r="D17" i="14"/>
  <c r="D12" i="14"/>
  <c r="F11" i="14"/>
  <c r="B11" i="14"/>
  <c r="D10" i="14"/>
  <c r="F9" i="14"/>
  <c r="B9" i="14"/>
  <c r="D8" i="14"/>
  <c r="F7" i="14"/>
  <c r="B7" i="14"/>
  <c r="D6" i="14"/>
  <c r="F5" i="14"/>
  <c r="N70" i="13"/>
  <c r="B8" i="14" s="1"/>
  <c r="K48" i="27" l="1"/>
  <c r="K137" i="27"/>
  <c r="K194" i="27"/>
  <c r="K136" i="27"/>
  <c r="K27" i="27"/>
  <c r="K141" i="27"/>
  <c r="K214" i="28"/>
  <c r="K69" i="27"/>
  <c r="K184" i="27"/>
  <c r="K43" i="28"/>
  <c r="K122" i="28"/>
  <c r="K41" i="27"/>
  <c r="K37" i="27"/>
  <c r="K50" i="28"/>
  <c r="D37" i="14"/>
  <c r="P63" i="13" s="1"/>
  <c r="G20" i="23"/>
  <c r="G7" i="23"/>
  <c r="G45" i="23"/>
  <c r="G23" i="23"/>
  <c r="G54" i="23"/>
  <c r="G53" i="23"/>
  <c r="G6" i="23"/>
  <c r="G18" i="23"/>
  <c r="G11" i="23"/>
  <c r="G26" i="23"/>
  <c r="G44" i="23"/>
  <c r="G19" i="23"/>
  <c r="G9" i="23"/>
  <c r="E37" i="14"/>
  <c r="Q63" i="13" s="1"/>
  <c r="F208" i="19"/>
  <c r="G208" i="19" s="1"/>
  <c r="H208" i="19" s="1"/>
  <c r="I208" i="19" s="1"/>
  <c r="J208" i="19" s="1"/>
  <c r="K208" i="19" s="1"/>
  <c r="F201" i="19"/>
  <c r="G201" i="19" s="1"/>
  <c r="H201" i="19" s="1"/>
  <c r="I201" i="19" s="1"/>
  <c r="J201" i="19" s="1"/>
  <c r="K201" i="19" s="1"/>
  <c r="F194" i="19"/>
  <c r="G194" i="19" s="1"/>
  <c r="H194" i="19" s="1"/>
  <c r="I194" i="19" s="1"/>
  <c r="J194" i="19" s="1"/>
  <c r="K194" i="19" s="1"/>
  <c r="F187" i="19"/>
  <c r="G187" i="19" s="1"/>
  <c r="H187" i="19" s="1"/>
  <c r="I187" i="19" s="1"/>
  <c r="J187" i="19" s="1"/>
  <c r="K187" i="19" s="1"/>
  <c r="F180" i="19"/>
  <c r="G180" i="19" s="1"/>
  <c r="H180" i="19" s="1"/>
  <c r="I180" i="19" s="1"/>
  <c r="J180" i="19" s="1"/>
  <c r="K180" i="19" s="1"/>
  <c r="F173" i="19"/>
  <c r="G173" i="19" s="1"/>
  <c r="H173" i="19" s="1"/>
  <c r="I173" i="19" s="1"/>
  <c r="J173" i="19" s="1"/>
  <c r="K173" i="19" s="1"/>
  <c r="F166" i="19"/>
  <c r="G166" i="19" s="1"/>
  <c r="H166" i="19" s="1"/>
  <c r="I166" i="19" s="1"/>
  <c r="J166" i="19" s="1"/>
  <c r="K166" i="19" s="1"/>
  <c r="F159" i="19"/>
  <c r="G159" i="19" s="1"/>
  <c r="H159" i="19" s="1"/>
  <c r="I159" i="19" s="1"/>
  <c r="J159" i="19" s="1"/>
  <c r="K159" i="19" s="1"/>
  <c r="F145" i="19"/>
  <c r="G145" i="19" s="1"/>
  <c r="H145" i="19" s="1"/>
  <c r="I145" i="19" s="1"/>
  <c r="J145" i="19" s="1"/>
  <c r="K145" i="19" s="1"/>
  <c r="F138" i="19"/>
  <c r="G138" i="19" s="1"/>
  <c r="H138" i="19" s="1"/>
  <c r="I138" i="19" s="1"/>
  <c r="J138" i="19" s="1"/>
  <c r="K138" i="19" s="1"/>
  <c r="F131" i="19"/>
  <c r="G131" i="19" s="1"/>
  <c r="H131" i="19" s="1"/>
  <c r="I131" i="19" s="1"/>
  <c r="J131" i="19" s="1"/>
  <c r="K131" i="19" s="1"/>
  <c r="F124" i="19"/>
  <c r="G124" i="19" s="1"/>
  <c r="H124" i="19" s="1"/>
  <c r="I124" i="19" s="1"/>
  <c r="J124" i="19" s="1"/>
  <c r="K124" i="19" s="1"/>
  <c r="F117" i="19"/>
  <c r="G117" i="19" s="1"/>
  <c r="H117" i="19" s="1"/>
  <c r="I117" i="19" s="1"/>
  <c r="J117" i="19" s="1"/>
  <c r="K117" i="19" s="1"/>
  <c r="F103" i="19"/>
  <c r="G103" i="19" s="1"/>
  <c r="H103" i="19" s="1"/>
  <c r="I103" i="19" s="1"/>
  <c r="J103" i="19" s="1"/>
  <c r="K103" i="19" s="1"/>
  <c r="F96" i="19"/>
  <c r="G96" i="19" s="1"/>
  <c r="H96" i="19" s="1"/>
  <c r="I96" i="19" s="1"/>
  <c r="J96" i="19" s="1"/>
  <c r="K96" i="19" s="1"/>
  <c r="F89" i="19"/>
  <c r="G89" i="19" s="1"/>
  <c r="H89" i="19" s="1"/>
  <c r="I89" i="19" s="1"/>
  <c r="J89" i="19" s="1"/>
  <c r="K89" i="19" s="1"/>
  <c r="F75" i="19"/>
  <c r="G75" i="19" s="1"/>
  <c r="H75" i="19" s="1"/>
  <c r="I75" i="19" s="1"/>
  <c r="J75" i="19" s="1"/>
  <c r="K75" i="19" s="1"/>
  <c r="F68" i="19"/>
  <c r="G68" i="19" s="1"/>
  <c r="H68" i="19" s="1"/>
  <c r="I68" i="19" s="1"/>
  <c r="J68" i="19" s="1"/>
  <c r="K68" i="19" s="1"/>
  <c r="F61" i="19"/>
  <c r="G61" i="19" s="1"/>
  <c r="H61" i="19" s="1"/>
  <c r="I61" i="19" s="1"/>
  <c r="J61" i="19" s="1"/>
  <c r="K61" i="19" s="1"/>
  <c r="F54" i="19"/>
  <c r="G54" i="19" s="1"/>
  <c r="H54" i="19" s="1"/>
  <c r="I54" i="19" s="1"/>
  <c r="J54" i="19" s="1"/>
  <c r="K54" i="19" s="1"/>
  <c r="F47" i="19"/>
  <c r="G47" i="19" s="1"/>
  <c r="H47" i="19" s="1"/>
  <c r="I47" i="19" s="1"/>
  <c r="J47" i="19" s="1"/>
  <c r="K47" i="19" s="1"/>
  <c r="F40" i="19"/>
  <c r="G40" i="19" s="1"/>
  <c r="H40" i="19" s="1"/>
  <c r="I40" i="19" s="1"/>
  <c r="J40" i="19" s="1"/>
  <c r="K40" i="19" s="1"/>
  <c r="F33" i="19"/>
  <c r="G33" i="19" s="1"/>
  <c r="H33" i="19" s="1"/>
  <c r="I33" i="19" s="1"/>
  <c r="J33" i="19" s="1"/>
  <c r="K33" i="19" s="1"/>
  <c r="F19" i="19"/>
  <c r="G19" i="19" s="1"/>
  <c r="H19" i="19" s="1"/>
  <c r="I19" i="19" s="1"/>
  <c r="J19" i="19" s="1"/>
  <c r="K19" i="19" s="1"/>
  <c r="F9" i="19"/>
  <c r="G9" i="19" s="1"/>
  <c r="H9" i="19" s="1"/>
  <c r="I9" i="19" s="1"/>
  <c r="J9" i="19" s="1"/>
  <c r="K9" i="19" s="1"/>
  <c r="F208" i="17"/>
  <c r="G208" i="17" s="1"/>
  <c r="H208" i="17" s="1"/>
  <c r="I208" i="17" s="1"/>
  <c r="J208" i="17" s="1"/>
  <c r="K208" i="17" s="1"/>
  <c r="F201" i="17"/>
  <c r="G201" i="17" s="1"/>
  <c r="H201" i="17" s="1"/>
  <c r="I201" i="17" s="1"/>
  <c r="J201" i="17" s="1"/>
  <c r="K201" i="17" s="1"/>
  <c r="F194" i="17"/>
  <c r="G194" i="17" s="1"/>
  <c r="H194" i="17" s="1"/>
  <c r="I194" i="17" s="1"/>
  <c r="J194" i="17" s="1"/>
  <c r="K194" i="17" s="1"/>
  <c r="F187" i="17"/>
  <c r="G187" i="17" s="1"/>
  <c r="H187" i="17" s="1"/>
  <c r="I187" i="17" s="1"/>
  <c r="J187" i="17" s="1"/>
  <c r="K187" i="17" s="1"/>
  <c r="F180" i="17"/>
  <c r="G180" i="17" s="1"/>
  <c r="H180" i="17" s="1"/>
  <c r="I180" i="17" s="1"/>
  <c r="J180" i="17" s="1"/>
  <c r="K180" i="17" s="1"/>
  <c r="F173" i="17"/>
  <c r="G173" i="17" s="1"/>
  <c r="H173" i="17" s="1"/>
  <c r="I173" i="17" s="1"/>
  <c r="J173" i="17" s="1"/>
  <c r="K173" i="17" s="1"/>
  <c r="F166" i="17"/>
  <c r="G166" i="17" s="1"/>
  <c r="H166" i="17" s="1"/>
  <c r="I166" i="17" s="1"/>
  <c r="J166" i="17" s="1"/>
  <c r="K166" i="17" s="1"/>
  <c r="F145" i="17"/>
  <c r="G145" i="17" s="1"/>
  <c r="H145" i="17" s="1"/>
  <c r="I145" i="17" s="1"/>
  <c r="J145" i="17" s="1"/>
  <c r="K145" i="17" s="1"/>
  <c r="F138" i="17"/>
  <c r="G138" i="17" s="1"/>
  <c r="H138" i="17" s="1"/>
  <c r="I138" i="17" s="1"/>
  <c r="J138" i="17" s="1"/>
  <c r="K138" i="17" s="1"/>
  <c r="F131" i="17"/>
  <c r="G131" i="17" s="1"/>
  <c r="H131" i="17" s="1"/>
  <c r="I131" i="17" s="1"/>
  <c r="J131" i="17" s="1"/>
  <c r="K131" i="17" s="1"/>
  <c r="F124" i="17"/>
  <c r="G124" i="17" s="1"/>
  <c r="H124" i="17" s="1"/>
  <c r="I124" i="17" s="1"/>
  <c r="J124" i="17" s="1"/>
  <c r="K124" i="17" s="1"/>
  <c r="F117" i="17"/>
  <c r="G117" i="17" s="1"/>
  <c r="H117" i="17" s="1"/>
  <c r="I117" i="17" s="1"/>
  <c r="J117" i="17" s="1"/>
  <c r="K117" i="17" s="1"/>
  <c r="F103" i="17"/>
  <c r="G103" i="17" s="1"/>
  <c r="H103" i="17" s="1"/>
  <c r="I103" i="17" s="1"/>
  <c r="J103" i="17" s="1"/>
  <c r="K103" i="17" s="1"/>
  <c r="F96" i="17"/>
  <c r="G96" i="17" s="1"/>
  <c r="H96" i="17" s="1"/>
  <c r="I96" i="17" s="1"/>
  <c r="J96" i="17" s="1"/>
  <c r="K96" i="17" s="1"/>
  <c r="F89" i="17"/>
  <c r="G89" i="17" s="1"/>
  <c r="H89" i="17" s="1"/>
  <c r="I89" i="17" s="1"/>
  <c r="J89" i="17" s="1"/>
  <c r="K89" i="17" s="1"/>
  <c r="F75" i="17"/>
  <c r="G75" i="17" s="1"/>
  <c r="H75" i="17" s="1"/>
  <c r="I75" i="17" s="1"/>
  <c r="J75" i="17" s="1"/>
  <c r="K75" i="17" s="1"/>
  <c r="F68" i="17"/>
  <c r="G68" i="17" s="1"/>
  <c r="H68" i="17" s="1"/>
  <c r="I68" i="17" s="1"/>
  <c r="J68" i="17" s="1"/>
  <c r="K68" i="17" s="1"/>
  <c r="F61" i="17"/>
  <c r="G61" i="17" s="1"/>
  <c r="H61" i="17" s="1"/>
  <c r="I61" i="17" s="1"/>
  <c r="J61" i="17" s="1"/>
  <c r="K61" i="17" s="1"/>
  <c r="F54" i="17"/>
  <c r="G54" i="17" s="1"/>
  <c r="H54" i="17" s="1"/>
  <c r="I54" i="17" s="1"/>
  <c r="J54" i="17" s="1"/>
  <c r="K54" i="17" s="1"/>
  <c r="F47" i="17"/>
  <c r="G47" i="17" s="1"/>
  <c r="H47" i="17" s="1"/>
  <c r="I47" i="17" s="1"/>
  <c r="J47" i="17" s="1"/>
  <c r="K47" i="17" s="1"/>
  <c r="F40" i="17"/>
  <c r="G40" i="17" s="1"/>
  <c r="H40" i="17" s="1"/>
  <c r="I40" i="17" s="1"/>
  <c r="J40" i="17" s="1"/>
  <c r="K40" i="17" s="1"/>
  <c r="F33" i="17"/>
  <c r="G33" i="17" s="1"/>
  <c r="H33" i="17" s="1"/>
  <c r="I33" i="17" s="1"/>
  <c r="J33" i="17" s="1"/>
  <c r="K33" i="17" s="1"/>
  <c r="F26" i="17"/>
  <c r="G26" i="17" s="1"/>
  <c r="H26" i="17" s="1"/>
  <c r="I26" i="17" s="1"/>
  <c r="J26" i="17" s="1"/>
  <c r="K26" i="17" s="1"/>
  <c r="F19" i="17"/>
  <c r="G19" i="17" s="1"/>
  <c r="H19" i="17" s="1"/>
  <c r="I19" i="17" s="1"/>
  <c r="J19" i="17" s="1"/>
  <c r="K19" i="17" s="1"/>
  <c r="F12" i="17"/>
  <c r="G12" i="17" s="1"/>
  <c r="H12" i="17" s="1"/>
  <c r="I12" i="17" s="1"/>
  <c r="J12" i="17" s="1"/>
  <c r="K12" i="17" s="1"/>
  <c r="K50" i="19"/>
  <c r="K120" i="19"/>
  <c r="K211" i="19"/>
  <c r="F31" i="14"/>
  <c r="R60" i="13" s="1"/>
  <c r="K27" i="17"/>
  <c r="K48" i="17"/>
  <c r="K135" i="17"/>
  <c r="K134" i="17"/>
  <c r="K191" i="17"/>
  <c r="K41" i="17"/>
  <c r="K69" i="17"/>
  <c r="K37" i="17"/>
  <c r="K139" i="17"/>
  <c r="K181" i="17"/>
  <c r="C31" i="14"/>
  <c r="O60" i="13" s="1"/>
  <c r="B37" i="14"/>
  <c r="N63" i="13" s="1"/>
  <c r="C37" i="14"/>
  <c r="O63" i="13" s="1"/>
  <c r="E31" i="14"/>
  <c r="Q60" i="13" s="1"/>
  <c r="K43" i="19"/>
  <c r="G37" i="14"/>
  <c r="S63" i="13" s="1"/>
  <c r="G31" i="14"/>
  <c r="S60" i="13" s="1"/>
  <c r="F37" i="14"/>
  <c r="R63" i="13" s="1"/>
  <c r="D31" i="14"/>
  <c r="P60" i="13" s="1"/>
  <c r="B31" i="14"/>
  <c r="N60" i="13" s="1"/>
  <c r="F17" i="17"/>
  <c r="G17" i="17" s="1"/>
  <c r="F87" i="19"/>
  <c r="F199" i="19"/>
  <c r="F108" i="19"/>
  <c r="F31" i="19"/>
  <c r="F129" i="19"/>
  <c r="F38" i="19"/>
  <c r="F150" i="19"/>
  <c r="F115" i="19"/>
  <c r="F24" i="19"/>
  <c r="F136" i="19"/>
  <c r="F45" i="19"/>
  <c r="F157" i="19"/>
  <c r="F66" i="19"/>
  <c r="F178" i="19"/>
  <c r="F143" i="19"/>
  <c r="F52" i="19"/>
  <c r="F164" i="19"/>
  <c r="F73" i="19"/>
  <c r="F185" i="19"/>
  <c r="F94" i="19"/>
  <c r="F206" i="19"/>
  <c r="F59" i="19"/>
  <c r="F171" i="19"/>
  <c r="F80" i="19"/>
  <c r="F192" i="19"/>
  <c r="F101" i="19"/>
  <c r="F213" i="19"/>
  <c r="F122" i="19"/>
  <c r="F87" i="17"/>
  <c r="F143" i="17"/>
  <c r="F122" i="17"/>
  <c r="F108" i="17"/>
  <c r="F73" i="17"/>
  <c r="F178" i="17"/>
  <c r="F94" i="17"/>
  <c r="F213" i="17"/>
  <c r="F59" i="17"/>
  <c r="F52" i="17"/>
  <c r="F164" i="17"/>
  <c r="F150" i="17"/>
  <c r="F199" i="17"/>
  <c r="F129" i="17"/>
  <c r="F206" i="17"/>
  <c r="F171" i="17"/>
  <c r="F38" i="17"/>
  <c r="F185" i="17"/>
  <c r="F24" i="17"/>
  <c r="F136" i="17"/>
  <c r="F101" i="17"/>
  <c r="F66" i="17"/>
  <c r="F115" i="17"/>
  <c r="F80" i="17"/>
  <c r="F192" i="17"/>
  <c r="F31" i="17"/>
  <c r="F45" i="17"/>
  <c r="F157" i="17"/>
  <c r="F12" i="19"/>
  <c r="G10" i="19"/>
  <c r="F9" i="17"/>
  <c r="G56" i="14"/>
  <c r="C56" i="14"/>
  <c r="O62" i="13" s="1"/>
  <c r="F56" i="14"/>
  <c r="R62" i="13" s="1"/>
  <c r="D19" i="14"/>
  <c r="P22" i="13" s="1"/>
  <c r="E50" i="14"/>
  <c r="Q61" i="13" s="1"/>
  <c r="B25" i="14"/>
  <c r="N59" i="13" s="1"/>
  <c r="F25" i="14"/>
  <c r="R59" i="13" s="1"/>
  <c r="D50" i="14"/>
  <c r="P61" i="13" s="1"/>
  <c r="C25" i="14"/>
  <c r="O59" i="13" s="1"/>
  <c r="E19" i="14"/>
  <c r="Q22" i="13" s="1"/>
  <c r="B56" i="14"/>
  <c r="N62" i="13" s="1"/>
  <c r="G25" i="14"/>
  <c r="S59" i="13" s="1"/>
  <c r="B13" i="14"/>
  <c r="F13" i="14"/>
  <c r="R45" i="13" s="1"/>
  <c r="G13" i="14"/>
  <c r="D13" i="14"/>
  <c r="B19" i="14"/>
  <c r="N22" i="13" s="1"/>
  <c r="F50" i="14"/>
  <c r="R61" i="13" s="1"/>
  <c r="C44" i="14"/>
  <c r="O64" i="13" s="1"/>
  <c r="G44" i="14"/>
  <c r="S64" i="13" s="1"/>
  <c r="C13" i="14"/>
  <c r="F19" i="14"/>
  <c r="C50" i="14"/>
  <c r="O61" i="13" s="1"/>
  <c r="B44" i="14"/>
  <c r="N64" i="13" s="1"/>
  <c r="D56" i="14"/>
  <c r="P62" i="13" s="1"/>
  <c r="G19" i="14"/>
  <c r="G50" i="14"/>
  <c r="C19" i="14"/>
  <c r="O22" i="13" s="1"/>
  <c r="D44" i="14"/>
  <c r="E44" i="14"/>
  <c r="Q64" i="13" s="1"/>
  <c r="E56" i="14"/>
  <c r="Q62" i="13" s="1"/>
  <c r="D25" i="14"/>
  <c r="P59" i="13" s="1"/>
  <c r="F44" i="14"/>
  <c r="R64" i="13" s="1"/>
  <c r="B50" i="14"/>
  <c r="N61" i="13" s="1"/>
  <c r="E13" i="14"/>
  <c r="E25" i="14"/>
  <c r="Q59" i="13" s="1"/>
  <c r="G12" i="23" l="1"/>
  <c r="D8" i="24" s="1"/>
  <c r="G55" i="23"/>
  <c r="D11" i="24" s="1"/>
  <c r="G47" i="23"/>
  <c r="D10" i="24" s="1"/>
  <c r="G21" i="23"/>
  <c r="D9" i="24" s="1"/>
  <c r="E114" i="28"/>
  <c r="F114" i="28" s="1"/>
  <c r="G114" i="28" s="1"/>
  <c r="H114" i="28" s="1"/>
  <c r="E157" i="28"/>
  <c r="F157" i="28" s="1"/>
  <c r="G157" i="28" s="1"/>
  <c r="H157" i="28" s="1"/>
  <c r="E164" i="28"/>
  <c r="F164" i="28" s="1"/>
  <c r="G164" i="28" s="1"/>
  <c r="H164" i="28" s="1"/>
  <c r="E92" i="28"/>
  <c r="F92" i="28" s="1"/>
  <c r="G92" i="28" s="1"/>
  <c r="H92" i="28" s="1"/>
  <c r="E121" i="28"/>
  <c r="F121" i="28" s="1"/>
  <c r="G121" i="28" s="1"/>
  <c r="H121" i="28" s="1"/>
  <c r="E85" i="28"/>
  <c r="F85" i="28" s="1"/>
  <c r="G85" i="28" s="1"/>
  <c r="H85" i="28" s="1"/>
  <c r="E155" i="28"/>
  <c r="F155" i="28" s="1"/>
  <c r="G155" i="28" s="1"/>
  <c r="H155" i="28" s="1"/>
  <c r="I155" i="28" s="1"/>
  <c r="J155" i="28" s="1"/>
  <c r="K155" i="28" s="1"/>
  <c r="E83" i="28"/>
  <c r="F83" i="28" s="1"/>
  <c r="G83" i="28" s="1"/>
  <c r="H83" i="28" s="1"/>
  <c r="I83" i="28" s="1"/>
  <c r="J83" i="28" s="1"/>
  <c r="K83" i="28" s="1"/>
  <c r="E112" i="28"/>
  <c r="F112" i="28" s="1"/>
  <c r="G112" i="28" s="1"/>
  <c r="H112" i="28" s="1"/>
  <c r="I112" i="28" s="1"/>
  <c r="J112" i="28" s="1"/>
  <c r="K112" i="28" s="1"/>
  <c r="E157" i="27"/>
  <c r="F157" i="27" s="1"/>
  <c r="G157" i="27" s="1"/>
  <c r="H157" i="27" s="1"/>
  <c r="E92" i="27"/>
  <c r="F92" i="27" s="1"/>
  <c r="G92" i="27" s="1"/>
  <c r="H92" i="27" s="1"/>
  <c r="E164" i="27"/>
  <c r="F164" i="27" s="1"/>
  <c r="G164" i="27" s="1"/>
  <c r="H164" i="27" s="1"/>
  <c r="E85" i="27"/>
  <c r="F85" i="27" s="1"/>
  <c r="G85" i="27" s="1"/>
  <c r="H85" i="27" s="1"/>
  <c r="E121" i="27"/>
  <c r="F121" i="27" s="1"/>
  <c r="G121" i="27" s="1"/>
  <c r="H121" i="27" s="1"/>
  <c r="E114" i="27"/>
  <c r="F114" i="27" s="1"/>
  <c r="G114" i="27" s="1"/>
  <c r="H114" i="27" s="1"/>
  <c r="E155" i="27"/>
  <c r="F155" i="27" s="1"/>
  <c r="G155" i="27" s="1"/>
  <c r="H155" i="27" s="1"/>
  <c r="I155" i="27" s="1"/>
  <c r="J155" i="27" s="1"/>
  <c r="K155" i="27" s="1"/>
  <c r="E112" i="27"/>
  <c r="F112" i="27" s="1"/>
  <c r="G112" i="27" s="1"/>
  <c r="H112" i="27" s="1"/>
  <c r="I112" i="27" s="1"/>
  <c r="J112" i="27" s="1"/>
  <c r="K112" i="27" s="1"/>
  <c r="E83" i="27"/>
  <c r="F83" i="27" s="1"/>
  <c r="G83" i="27" s="1"/>
  <c r="H83" i="27" s="1"/>
  <c r="I83" i="27" s="1"/>
  <c r="J83" i="27" s="1"/>
  <c r="K83" i="27" s="1"/>
  <c r="E161" i="17"/>
  <c r="F161" i="17" s="1"/>
  <c r="G161" i="17" s="1"/>
  <c r="H161" i="17" s="1"/>
  <c r="E91" i="19"/>
  <c r="F91" i="19" s="1"/>
  <c r="G91" i="19" s="1"/>
  <c r="H91" i="19" s="1"/>
  <c r="E91" i="17"/>
  <c r="F91" i="17" s="1"/>
  <c r="G91" i="17" s="1"/>
  <c r="H91" i="17" s="1"/>
  <c r="E119" i="17"/>
  <c r="F119" i="17" s="1"/>
  <c r="G119" i="17" s="1"/>
  <c r="H119" i="17" s="1"/>
  <c r="F10" i="24"/>
  <c r="F9" i="24"/>
  <c r="F8" i="24"/>
  <c r="F11" i="24"/>
  <c r="E82" i="19"/>
  <c r="F82" i="19" s="1"/>
  <c r="G82" i="19" s="1"/>
  <c r="H82" i="19" s="1"/>
  <c r="I82" i="19" s="1"/>
  <c r="J82" i="19" s="1"/>
  <c r="K82" i="19" s="1"/>
  <c r="E154" i="17"/>
  <c r="F154" i="17" s="1"/>
  <c r="G154" i="17" s="1"/>
  <c r="H154" i="17" s="1"/>
  <c r="E35" i="19"/>
  <c r="E110" i="19"/>
  <c r="E152" i="19"/>
  <c r="E84" i="17"/>
  <c r="F84" i="17" s="1"/>
  <c r="G84" i="17" s="1"/>
  <c r="H84" i="17" s="1"/>
  <c r="E112" i="17"/>
  <c r="F112" i="17" s="1"/>
  <c r="G112" i="17" s="1"/>
  <c r="H112" i="17" s="1"/>
  <c r="E82" i="17"/>
  <c r="E159" i="17"/>
  <c r="E110" i="17"/>
  <c r="E152" i="17"/>
  <c r="E154" i="19"/>
  <c r="F154" i="19" s="1"/>
  <c r="G154" i="19" s="1"/>
  <c r="H154" i="19" s="1"/>
  <c r="E161" i="19"/>
  <c r="E112" i="19"/>
  <c r="F112" i="19" s="1"/>
  <c r="G112" i="19" s="1"/>
  <c r="H112" i="19" s="1"/>
  <c r="E119" i="19"/>
  <c r="E14" i="19"/>
  <c r="E84" i="19"/>
  <c r="G122" i="19"/>
  <c r="G101" i="19"/>
  <c r="G80" i="19"/>
  <c r="G59" i="19"/>
  <c r="G94" i="19"/>
  <c r="G73" i="19"/>
  <c r="G52" i="19"/>
  <c r="G178" i="19"/>
  <c r="G157" i="19"/>
  <c r="G136" i="19"/>
  <c r="G115" i="19"/>
  <c r="G38" i="19"/>
  <c r="G31" i="19"/>
  <c r="G199" i="19"/>
  <c r="G213" i="19"/>
  <c r="G192" i="19"/>
  <c r="G171" i="19"/>
  <c r="G206" i="19"/>
  <c r="G185" i="19"/>
  <c r="G164" i="19"/>
  <c r="G143" i="19"/>
  <c r="G66" i="19"/>
  <c r="G45" i="19"/>
  <c r="G24" i="19"/>
  <c r="G150" i="19"/>
  <c r="G129" i="19"/>
  <c r="G108" i="19"/>
  <c r="G87" i="19"/>
  <c r="G157" i="17"/>
  <c r="G31" i="17"/>
  <c r="G80" i="17"/>
  <c r="G66" i="17"/>
  <c r="G136" i="17"/>
  <c r="G185" i="17"/>
  <c r="G171" i="17"/>
  <c r="G129" i="17"/>
  <c r="G150" i="17"/>
  <c r="G52" i="17"/>
  <c r="G213" i="17"/>
  <c r="G178" i="17"/>
  <c r="G108" i="17"/>
  <c r="G143" i="17"/>
  <c r="G45" i="17"/>
  <c r="G192" i="17"/>
  <c r="G115" i="17"/>
  <c r="G101" i="17"/>
  <c r="G24" i="17"/>
  <c r="G38" i="17"/>
  <c r="G206" i="17"/>
  <c r="G199" i="17"/>
  <c r="G164" i="17"/>
  <c r="G59" i="17"/>
  <c r="G94" i="17"/>
  <c r="G73" i="17"/>
  <c r="G122" i="17"/>
  <c r="G87" i="17"/>
  <c r="H17" i="17"/>
  <c r="G12" i="19"/>
  <c r="H10" i="19"/>
  <c r="G9" i="17"/>
  <c r="R22" i="13"/>
  <c r="O45" i="13"/>
  <c r="N45" i="13"/>
  <c r="E26" i="19" s="1"/>
  <c r="Q45" i="13"/>
  <c r="S45" i="13"/>
  <c r="P64" i="13"/>
  <c r="P45" i="13"/>
  <c r="C8" i="7"/>
  <c r="B8" i="7" s="1"/>
  <c r="B4" i="7"/>
  <c r="D8" i="7" s="1"/>
  <c r="K5" i="6"/>
  <c r="K12" i="6"/>
  <c r="I4" i="6"/>
  <c r="K4" i="6" s="1"/>
  <c r="J6" i="6"/>
  <c r="K6" i="6" s="1"/>
  <c r="K9" i="6"/>
  <c r="J10" i="6"/>
  <c r="K10" i="6"/>
  <c r="K11" i="6"/>
  <c r="I4" i="5"/>
  <c r="J4" i="5" s="1"/>
  <c r="I5" i="5"/>
  <c r="C6" i="5"/>
  <c r="I6" i="5" s="1"/>
  <c r="C7" i="5"/>
  <c r="I7" i="5" s="1"/>
  <c r="C8" i="5"/>
  <c r="I8" i="5" s="1"/>
  <c r="C9" i="5"/>
  <c r="I9" i="5" s="1"/>
  <c r="C10" i="5"/>
  <c r="I10" i="5" s="1"/>
  <c r="C11" i="5"/>
  <c r="I11" i="5" s="1"/>
  <c r="C12" i="5"/>
  <c r="I12" i="5" s="1"/>
  <c r="C13" i="5"/>
  <c r="I13" i="5" s="1"/>
  <c r="I14" i="5"/>
  <c r="I16" i="5"/>
  <c r="I17" i="5"/>
  <c r="C18" i="5"/>
  <c r="I18" i="5" s="1"/>
  <c r="C19" i="5"/>
  <c r="I19" i="5" s="1"/>
  <c r="I20" i="5"/>
  <c r="I23" i="5"/>
  <c r="C24" i="5"/>
  <c r="I24" i="5" s="1"/>
  <c r="C25" i="5"/>
  <c r="I25" i="5" s="1"/>
  <c r="C26" i="5"/>
  <c r="I26" i="5" s="1"/>
  <c r="C27" i="5"/>
  <c r="I27" i="5" s="1"/>
  <c r="I28" i="5"/>
  <c r="I31" i="5"/>
  <c r="I32" i="5"/>
  <c r="C33" i="5"/>
  <c r="I33" i="5" s="1"/>
  <c r="C34" i="5"/>
  <c r="I34" i="5" s="1"/>
  <c r="C35" i="5"/>
  <c r="I35" i="5"/>
  <c r="I36" i="5"/>
  <c r="B5" i="5"/>
  <c r="B6" i="5" s="1"/>
  <c r="A4" i="5"/>
  <c r="I37" i="5"/>
  <c r="C38" i="5"/>
  <c r="I38" i="5" s="1"/>
  <c r="C39" i="5"/>
  <c r="I39" i="5" s="1"/>
  <c r="C40" i="5"/>
  <c r="I40" i="5" s="1"/>
  <c r="E40" i="5"/>
  <c r="D40" i="5"/>
  <c r="E39" i="5"/>
  <c r="D39" i="5"/>
  <c r="E36" i="5"/>
  <c r="H37" i="5" s="1"/>
  <c r="E38" i="5" s="1"/>
  <c r="D36" i="5"/>
  <c r="G37" i="5" s="1"/>
  <c r="D38" i="5" s="1"/>
  <c r="E37" i="5"/>
  <c r="D37" i="5"/>
  <c r="E35" i="5"/>
  <c r="D35" i="5"/>
  <c r="E34" i="5"/>
  <c r="D34" i="5"/>
  <c r="E33" i="5"/>
  <c r="D33" i="5"/>
  <c r="E32" i="5"/>
  <c r="D32" i="5"/>
  <c r="D31" i="5"/>
  <c r="E28" i="5"/>
  <c r="D28" i="5"/>
  <c r="E27" i="5"/>
  <c r="D27" i="5"/>
  <c r="D26" i="5"/>
  <c r="E26" i="5"/>
  <c r="E25" i="5"/>
  <c r="D25" i="5"/>
  <c r="E24" i="5"/>
  <c r="D24" i="5"/>
  <c r="E20" i="5"/>
  <c r="H23" i="5" s="1"/>
  <c r="D20" i="5"/>
  <c r="G23" i="5" s="1"/>
  <c r="E23" i="5"/>
  <c r="D23" i="5"/>
  <c r="E19" i="5"/>
  <c r="D19" i="5"/>
  <c r="E18" i="5"/>
  <c r="D18" i="5"/>
  <c r="E14" i="5"/>
  <c r="H16" i="5" s="1"/>
  <c r="E17" i="5" s="1"/>
  <c r="D17" i="5"/>
  <c r="D16" i="5"/>
  <c r="E16" i="5"/>
  <c r="D14" i="5"/>
  <c r="E13" i="5"/>
  <c r="D13" i="5"/>
  <c r="E12" i="5"/>
  <c r="D12" i="5"/>
  <c r="E11" i="5"/>
  <c r="D11" i="5"/>
  <c r="E10" i="5"/>
  <c r="D10" i="5"/>
  <c r="E9" i="5"/>
  <c r="D9" i="5"/>
  <c r="E7" i="5"/>
  <c r="D7" i="5"/>
  <c r="E6" i="5"/>
  <c r="D6" i="5"/>
  <c r="D5" i="5"/>
  <c r="E5" i="5"/>
  <c r="E8" i="5"/>
  <c r="D8" i="5"/>
  <c r="G9" i="24" l="1"/>
  <c r="G63" i="23"/>
  <c r="B78" i="23" s="1"/>
  <c r="D36" i="24"/>
  <c r="F36" i="24" s="1"/>
  <c r="J5" i="5"/>
  <c r="A6" i="5"/>
  <c r="B7" i="5"/>
  <c r="B8" i="5" s="1"/>
  <c r="A5" i="5"/>
  <c r="J6" i="5"/>
  <c r="J7" i="5" s="1"/>
  <c r="I92" i="28"/>
  <c r="J92" i="28" s="1"/>
  <c r="K92" i="28" s="1"/>
  <c r="I164" i="28"/>
  <c r="J164" i="28" s="1"/>
  <c r="K164" i="28" s="1"/>
  <c r="I85" i="28"/>
  <c r="J85" i="28" s="1"/>
  <c r="K85" i="28" s="1"/>
  <c r="I157" i="28"/>
  <c r="J157" i="28" s="1"/>
  <c r="K157" i="28" s="1"/>
  <c r="I121" i="28"/>
  <c r="J121" i="28" s="1"/>
  <c r="K121" i="28" s="1"/>
  <c r="I114" i="28"/>
  <c r="J114" i="28" s="1"/>
  <c r="K114" i="28" s="1"/>
  <c r="I85" i="27"/>
  <c r="J85" i="27" s="1"/>
  <c r="K85" i="27" s="1"/>
  <c r="I164" i="27"/>
  <c r="J164" i="27" s="1"/>
  <c r="K164" i="27" s="1"/>
  <c r="I114" i="27"/>
  <c r="J114" i="27" s="1"/>
  <c r="K114" i="27" s="1"/>
  <c r="I92" i="27"/>
  <c r="J92" i="27" s="1"/>
  <c r="K92" i="27" s="1"/>
  <c r="I121" i="27"/>
  <c r="J121" i="27" s="1"/>
  <c r="K121" i="27" s="1"/>
  <c r="I157" i="27"/>
  <c r="J157" i="27" s="1"/>
  <c r="K157" i="27" s="1"/>
  <c r="I91" i="17"/>
  <c r="J91" i="17" s="1"/>
  <c r="K91" i="17" s="1"/>
  <c r="I91" i="19"/>
  <c r="J91" i="19" s="1"/>
  <c r="K91" i="19" s="1"/>
  <c r="I161" i="17"/>
  <c r="J161" i="17" s="1"/>
  <c r="K161" i="17" s="1"/>
  <c r="I119" i="17"/>
  <c r="J119" i="17" s="1"/>
  <c r="K119" i="17" s="1"/>
  <c r="F76" i="24"/>
  <c r="B83" i="24" s="1"/>
  <c r="M6" i="7"/>
  <c r="D60" i="24" s="1"/>
  <c r="F60" i="24" s="1"/>
  <c r="F152" i="19"/>
  <c r="G152" i="19" s="1"/>
  <c r="H152" i="19" s="1"/>
  <c r="I152" i="19" s="1"/>
  <c r="J152" i="19" s="1"/>
  <c r="K152" i="19" s="1"/>
  <c r="F110" i="19"/>
  <c r="G110" i="19" s="1"/>
  <c r="H110" i="19" s="1"/>
  <c r="I110" i="19" s="1"/>
  <c r="J110" i="19" s="1"/>
  <c r="K110" i="19" s="1"/>
  <c r="F110" i="17"/>
  <c r="G110" i="17" s="1"/>
  <c r="H110" i="17" s="1"/>
  <c r="I110" i="17" s="1"/>
  <c r="J110" i="17" s="1"/>
  <c r="K110" i="17" s="1"/>
  <c r="F35" i="19"/>
  <c r="I84" i="17"/>
  <c r="J84" i="17" s="1"/>
  <c r="K84" i="17" s="1"/>
  <c r="F82" i="17"/>
  <c r="I154" i="17"/>
  <c r="J154" i="17" s="1"/>
  <c r="K154" i="17" s="1"/>
  <c r="I112" i="17"/>
  <c r="J112" i="17" s="1"/>
  <c r="K112" i="17" s="1"/>
  <c r="F159" i="17"/>
  <c r="F152" i="17"/>
  <c r="F14" i="19"/>
  <c r="F161" i="19"/>
  <c r="I112" i="19"/>
  <c r="J112" i="19" s="1"/>
  <c r="K112" i="19" s="1"/>
  <c r="I154" i="19"/>
  <c r="J154" i="19" s="1"/>
  <c r="K154" i="19" s="1"/>
  <c r="F119" i="19"/>
  <c r="F84" i="19"/>
  <c r="F26" i="19"/>
  <c r="H87" i="19"/>
  <c r="H24" i="19"/>
  <c r="H66" i="19"/>
  <c r="H206" i="19"/>
  <c r="H192" i="19"/>
  <c r="H199" i="19"/>
  <c r="H38" i="19"/>
  <c r="H136" i="19"/>
  <c r="H178" i="19"/>
  <c r="H73" i="19"/>
  <c r="H59" i="19"/>
  <c r="H101" i="19"/>
  <c r="H129" i="19"/>
  <c r="H164" i="19"/>
  <c r="H108" i="19"/>
  <c r="H150" i="19"/>
  <c r="H45" i="19"/>
  <c r="H143" i="19"/>
  <c r="H185" i="19"/>
  <c r="H171" i="19"/>
  <c r="H213" i="19"/>
  <c r="H31" i="19"/>
  <c r="H115" i="19"/>
  <c r="H157" i="19"/>
  <c r="H52" i="19"/>
  <c r="H94" i="19"/>
  <c r="H80" i="19"/>
  <c r="H122" i="19"/>
  <c r="H87" i="17"/>
  <c r="H73" i="17"/>
  <c r="H59" i="17"/>
  <c r="H199" i="17"/>
  <c r="H38" i="17"/>
  <c r="H101" i="17"/>
  <c r="H192" i="17"/>
  <c r="H143" i="17"/>
  <c r="H178" i="17"/>
  <c r="H52" i="17"/>
  <c r="H129" i="17"/>
  <c r="H185" i="17"/>
  <c r="H66" i="17"/>
  <c r="H31" i="17"/>
  <c r="H122" i="17"/>
  <c r="H94" i="17"/>
  <c r="H164" i="17"/>
  <c r="H206" i="17"/>
  <c r="H24" i="17"/>
  <c r="H115" i="17"/>
  <c r="H45" i="17"/>
  <c r="H108" i="17"/>
  <c r="H213" i="17"/>
  <c r="H150" i="17"/>
  <c r="H171" i="17"/>
  <c r="H136" i="17"/>
  <c r="H80" i="17"/>
  <c r="H157" i="17"/>
  <c r="I17" i="17"/>
  <c r="H12" i="19"/>
  <c r="I10" i="19"/>
  <c r="H9" i="17"/>
  <c r="B9" i="5"/>
  <c r="A8" i="5"/>
  <c r="J8" i="5"/>
  <c r="J9" i="5" s="1"/>
  <c r="J10" i="5" s="1"/>
  <c r="J11" i="5" s="1"/>
  <c r="J12" i="5" s="1"/>
  <c r="J13" i="5" s="1"/>
  <c r="J14" i="5" s="1"/>
  <c r="J16" i="5" s="1"/>
  <c r="J17" i="5" s="1"/>
  <c r="J18" i="5" s="1"/>
  <c r="J19" i="5" s="1"/>
  <c r="J20" i="5" s="1"/>
  <c r="A7" i="5"/>
  <c r="G35" i="19" l="1"/>
  <c r="G82" i="17"/>
  <c r="G159" i="17"/>
  <c r="G152" i="17"/>
  <c r="G14" i="19"/>
  <c r="G161" i="19"/>
  <c r="G119" i="19"/>
  <c r="G84" i="19"/>
  <c r="G26" i="19"/>
  <c r="I122" i="19"/>
  <c r="I94" i="19"/>
  <c r="I157" i="19"/>
  <c r="I31" i="19"/>
  <c r="I171" i="19"/>
  <c r="I143" i="19"/>
  <c r="I150" i="19"/>
  <c r="I164" i="19"/>
  <c r="I101" i="19"/>
  <c r="I73" i="19"/>
  <c r="I136" i="19"/>
  <c r="I199" i="19"/>
  <c r="I206" i="19"/>
  <c r="I24" i="19"/>
  <c r="I80" i="19"/>
  <c r="I52" i="19"/>
  <c r="I115" i="19"/>
  <c r="I213" i="19"/>
  <c r="I185" i="19"/>
  <c r="I45" i="19"/>
  <c r="I108" i="19"/>
  <c r="I129" i="19"/>
  <c r="I59" i="19"/>
  <c r="I178" i="19"/>
  <c r="I38" i="19"/>
  <c r="I192" i="19"/>
  <c r="I66" i="19"/>
  <c r="I87" i="19"/>
  <c r="I136" i="17"/>
  <c r="I108" i="17"/>
  <c r="I115" i="17"/>
  <c r="I94" i="17"/>
  <c r="I185" i="17"/>
  <c r="I101" i="17"/>
  <c r="I73" i="17"/>
  <c r="I157" i="17"/>
  <c r="I150" i="17"/>
  <c r="I206" i="17"/>
  <c r="I31" i="17"/>
  <c r="I52" i="17"/>
  <c r="I143" i="17"/>
  <c r="I199" i="17"/>
  <c r="I80" i="17"/>
  <c r="I171" i="17"/>
  <c r="I213" i="17"/>
  <c r="I45" i="17"/>
  <c r="I24" i="17"/>
  <c r="I164" i="17"/>
  <c r="I122" i="17"/>
  <c r="I66" i="17"/>
  <c r="I129" i="17"/>
  <c r="I178" i="17"/>
  <c r="I192" i="17"/>
  <c r="I38" i="17"/>
  <c r="I59" i="17"/>
  <c r="I87" i="17"/>
  <c r="J17" i="17"/>
  <c r="I12" i="19"/>
  <c r="J10" i="19"/>
  <c r="I9" i="17"/>
  <c r="J23" i="5"/>
  <c r="J24" i="5" s="1"/>
  <c r="J25" i="5" s="1"/>
  <c r="J26" i="5" s="1"/>
  <c r="J27" i="5" s="1"/>
  <c r="J28" i="5" s="1"/>
  <c r="K21" i="5"/>
  <c r="A9" i="5"/>
  <c r="B10" i="5"/>
  <c r="H35" i="19" l="1"/>
  <c r="H82" i="17"/>
  <c r="H159" i="17"/>
  <c r="H152" i="17"/>
  <c r="H14" i="19"/>
  <c r="H161" i="19"/>
  <c r="H119" i="19"/>
  <c r="H84" i="19"/>
  <c r="H26" i="19"/>
  <c r="J87" i="19"/>
  <c r="J192" i="19"/>
  <c r="J178" i="19"/>
  <c r="J45" i="19"/>
  <c r="J213" i="19"/>
  <c r="J52" i="19"/>
  <c r="J24" i="19"/>
  <c r="J199" i="19"/>
  <c r="J73" i="19"/>
  <c r="J164" i="19"/>
  <c r="J143" i="19"/>
  <c r="J31" i="19"/>
  <c r="J94" i="19"/>
  <c r="J129" i="19"/>
  <c r="J66" i="19"/>
  <c r="J38" i="19"/>
  <c r="J59" i="19"/>
  <c r="J108" i="19"/>
  <c r="J185" i="19"/>
  <c r="J115" i="19"/>
  <c r="J80" i="19"/>
  <c r="J206" i="19"/>
  <c r="J136" i="19"/>
  <c r="J101" i="19"/>
  <c r="J150" i="19"/>
  <c r="J171" i="19"/>
  <c r="J157" i="19"/>
  <c r="J122" i="19"/>
  <c r="J178" i="17"/>
  <c r="J164" i="17"/>
  <c r="J171" i="17"/>
  <c r="J199" i="17"/>
  <c r="J52" i="17"/>
  <c r="J206" i="17"/>
  <c r="J157" i="17"/>
  <c r="J101" i="17"/>
  <c r="J94" i="17"/>
  <c r="J108" i="17"/>
  <c r="J38" i="17"/>
  <c r="J45" i="17"/>
  <c r="J87" i="17"/>
  <c r="J66" i="17"/>
  <c r="J59" i="17"/>
  <c r="J192" i="17"/>
  <c r="J129" i="17"/>
  <c r="J122" i="17"/>
  <c r="J24" i="17"/>
  <c r="J213" i="17"/>
  <c r="J80" i="17"/>
  <c r="J143" i="17"/>
  <c r="J31" i="17"/>
  <c r="J150" i="17"/>
  <c r="J73" i="17"/>
  <c r="J185" i="17"/>
  <c r="J115" i="17"/>
  <c r="J136" i="17"/>
  <c r="K17" i="17"/>
  <c r="J12" i="19"/>
  <c r="K10" i="19"/>
  <c r="J9" i="17"/>
  <c r="A10" i="5"/>
  <c r="B11" i="5"/>
  <c r="J31" i="5"/>
  <c r="J32" i="5" s="1"/>
  <c r="J33" i="5" s="1"/>
  <c r="J34" i="5" s="1"/>
  <c r="J35" i="5" s="1"/>
  <c r="J36" i="5" s="1"/>
  <c r="K29" i="5"/>
  <c r="I35" i="19" l="1"/>
  <c r="I82" i="17"/>
  <c r="I159" i="17"/>
  <c r="I152" i="17"/>
  <c r="I14" i="19"/>
  <c r="I161" i="19"/>
  <c r="I119" i="19"/>
  <c r="I84" i="19"/>
  <c r="I26" i="19"/>
  <c r="K122" i="19"/>
  <c r="K171" i="19"/>
  <c r="K101" i="19"/>
  <c r="K206" i="19"/>
  <c r="K115" i="19"/>
  <c r="K108" i="19"/>
  <c r="K38" i="19"/>
  <c r="K129" i="19"/>
  <c r="K31" i="19"/>
  <c r="K164" i="19"/>
  <c r="K199" i="19"/>
  <c r="K52" i="19"/>
  <c r="K45" i="19"/>
  <c r="K192" i="19"/>
  <c r="K157" i="19"/>
  <c r="K150" i="19"/>
  <c r="K136" i="19"/>
  <c r="K80" i="19"/>
  <c r="K185" i="19"/>
  <c r="K59" i="19"/>
  <c r="K66" i="19"/>
  <c r="K94" i="19"/>
  <c r="K143" i="19"/>
  <c r="K73" i="19"/>
  <c r="K24" i="19"/>
  <c r="K213" i="19"/>
  <c r="K178" i="19"/>
  <c r="K87" i="19"/>
  <c r="K185" i="17"/>
  <c r="K143" i="17"/>
  <c r="K66" i="17"/>
  <c r="K164" i="17"/>
  <c r="K136" i="17"/>
  <c r="K150" i="17"/>
  <c r="K213" i="17"/>
  <c r="K122" i="17"/>
  <c r="K192" i="17"/>
  <c r="K45" i="17"/>
  <c r="K108" i="17"/>
  <c r="K101" i="17"/>
  <c r="K206" i="17"/>
  <c r="K199" i="17"/>
  <c r="K115" i="17"/>
  <c r="K73" i="17"/>
  <c r="K31" i="17"/>
  <c r="K80" i="17"/>
  <c r="K24" i="17"/>
  <c r="K129" i="17"/>
  <c r="K59" i="17"/>
  <c r="K87" i="17"/>
  <c r="K38" i="17"/>
  <c r="K94" i="17"/>
  <c r="K157" i="17"/>
  <c r="K52" i="17"/>
  <c r="K171" i="17"/>
  <c r="K178" i="17"/>
  <c r="K12" i="19"/>
  <c r="K9" i="17"/>
  <c r="J37" i="5"/>
  <c r="J38" i="5" s="1"/>
  <c r="J39" i="5" s="1"/>
  <c r="J40" i="5" s="1"/>
  <c r="K36" i="5"/>
  <c r="B12" i="5"/>
  <c r="A11" i="5"/>
  <c r="J35" i="19" l="1"/>
  <c r="J82" i="17"/>
  <c r="J159" i="17"/>
  <c r="J152" i="17"/>
  <c r="J14" i="19"/>
  <c r="J161" i="19"/>
  <c r="J119" i="19"/>
  <c r="J84" i="19"/>
  <c r="J26" i="19"/>
  <c r="B13" i="5"/>
  <c r="A12" i="5"/>
  <c r="K35" i="19" l="1"/>
  <c r="K82" i="17"/>
  <c r="K159" i="17"/>
  <c r="K152" i="17"/>
  <c r="K14" i="19"/>
  <c r="K161" i="19"/>
  <c r="K119" i="19"/>
  <c r="K84" i="19"/>
  <c r="K26" i="19"/>
  <c r="B14" i="5"/>
  <c r="A13" i="5"/>
  <c r="A14" i="5" l="1"/>
  <c r="B15" i="5"/>
  <c r="B16" i="5" l="1"/>
  <c r="A15" i="5"/>
  <c r="B17" i="5" l="1"/>
  <c r="A16" i="5"/>
  <c r="B18" i="5" l="1"/>
  <c r="A17" i="5"/>
  <c r="A18" i="5" l="1"/>
  <c r="B19" i="5"/>
  <c r="B20" i="5" l="1"/>
  <c r="A19" i="5"/>
  <c r="B21" i="5" l="1"/>
  <c r="A20" i="5"/>
  <c r="A21" i="5" l="1"/>
  <c r="B22" i="5"/>
  <c r="A22" i="5" l="1"/>
  <c r="B23" i="5"/>
  <c r="B24" i="5" l="1"/>
  <c r="A23" i="5"/>
  <c r="B25" i="5" l="1"/>
  <c r="A24" i="5"/>
  <c r="A25" i="5" l="1"/>
  <c r="B26" i="5"/>
  <c r="A26" i="5" l="1"/>
  <c r="B27" i="5"/>
  <c r="B28" i="5" l="1"/>
  <c r="A27" i="5"/>
  <c r="B29" i="5" l="1"/>
  <c r="A28" i="5"/>
  <c r="B30" i="5" l="1"/>
  <c r="A29" i="5"/>
  <c r="A30" i="5" l="1"/>
  <c r="B31" i="5"/>
  <c r="B32" i="5" l="1"/>
  <c r="A31" i="5"/>
  <c r="B33" i="5" l="1"/>
  <c r="A32" i="5"/>
  <c r="B34" i="5" l="1"/>
  <c r="A33" i="5"/>
  <c r="A34" i="5" l="1"/>
  <c r="B35" i="5"/>
  <c r="B36" i="5" l="1"/>
  <c r="A35" i="5"/>
  <c r="B37" i="5" l="1"/>
  <c r="A36" i="5"/>
  <c r="B38" i="5" l="1"/>
  <c r="A37" i="5"/>
  <c r="A38" i="5" l="1"/>
  <c r="B39" i="5"/>
  <c r="A39" i="5" l="1"/>
  <c r="B40" i="5"/>
  <c r="A4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P2" authorId="0" shapeId="0" xr:uid="{31EAC25A-5F8F-974E-810B-6CDE24EB5F92}">
      <text>
        <r>
          <rPr>
            <b/>
            <sz val="10"/>
            <color rgb="FF000000"/>
            <rFont val="Tahoma"/>
            <family val="2"/>
          </rPr>
          <t>Go. Own It:</t>
        </r>
        <r>
          <rPr>
            <sz val="10"/>
            <color rgb="FF000000"/>
            <rFont val="Tahoma"/>
            <family val="2"/>
          </rPr>
          <t xml:space="preserve">
</t>
        </r>
        <r>
          <rPr>
            <sz val="10"/>
            <color rgb="FF000000"/>
            <rFont val="Tahoma"/>
            <family val="2"/>
          </rPr>
          <t xml:space="preserve">These locations are listed in the </t>
        </r>
        <r>
          <rPr>
            <sz val="10"/>
            <color rgb="FF000000"/>
            <rFont val="Calibri"/>
            <family val="2"/>
            <scheme val="minor"/>
          </rPr>
          <t> Recreation.gov website (Inyo National Forest – Wilderness Permits) trip itinerary drop-down list. They</t>
        </r>
        <r>
          <rPr>
            <sz val="10"/>
            <color rgb="FF000000"/>
            <rFont val="Calibri"/>
            <family val="2"/>
            <scheme val="minor"/>
          </rPr>
          <t xml:space="preserve"> may not necessarily correlate with locations you've chosen to camp</t>
        </r>
      </text>
    </comment>
    <comment ref="A4" authorId="0" shapeId="0" xr:uid="{B11E8DE4-BA37-F243-86C7-AC78AC5BC68E}">
      <text>
        <r>
          <rPr>
            <b/>
            <sz val="10"/>
            <color rgb="FF000000"/>
            <rFont val="Tahoma"/>
            <family val="2"/>
          </rPr>
          <t>Go. Own It:</t>
        </r>
        <r>
          <rPr>
            <sz val="10"/>
            <color rgb="FF000000"/>
            <rFont val="Tahoma"/>
            <family val="2"/>
          </rPr>
          <t xml:space="preserve">
</t>
        </r>
        <r>
          <rPr>
            <sz val="10"/>
            <color rgb="FF000000"/>
            <rFont val="Tahoma"/>
            <family val="2"/>
          </rPr>
          <t xml:space="preserve">After entering a date in A3, the remainder of the dates in Column A will auto-calculate, with the exception of two contiguous rows that have the same color (they are two hike segments that are part of a single day)
</t>
        </r>
      </text>
    </comment>
    <comment ref="C4" authorId="0" shapeId="0" xr:uid="{EA9C1117-BDB4-F54E-AB86-273BCABE6743}">
      <text>
        <r>
          <rPr>
            <b/>
            <sz val="10"/>
            <color rgb="FF000000"/>
            <rFont val="Tahoma"/>
            <family val="2"/>
          </rPr>
          <t>Go. Own It:</t>
        </r>
        <r>
          <rPr>
            <sz val="10"/>
            <color rgb="FF000000"/>
            <rFont val="Tahoma"/>
            <family val="2"/>
          </rPr>
          <t xml:space="preserve">
</t>
        </r>
        <r>
          <rPr>
            <sz val="10"/>
            <color rgb="FF000000"/>
            <rFont val="Tahoma"/>
            <family val="2"/>
          </rPr>
          <t xml:space="preserve">Enter the mile marker for start point of the segment. You will notice that some of the cells contain a formula while others do not. If the previous segment is contiguous to the one being referenced, then a fomula is used to grab the mile marker from the previous spot where you left off. If the segment is not contiguous, meaning perhaps you are hiking on a side-trail, then the start mile is hard coded to calculate the distanced hiked for that particular segment. </t>
        </r>
      </text>
    </comment>
    <comment ref="F4" authorId="0" shapeId="0" xr:uid="{58613CF3-2000-0F4B-9A4A-00ECD2FBEA06}">
      <text>
        <r>
          <rPr>
            <b/>
            <sz val="10"/>
            <color rgb="FF000000"/>
            <rFont val="Tahoma"/>
            <family val="2"/>
          </rPr>
          <t>Go. Own It:</t>
        </r>
        <r>
          <rPr>
            <sz val="10"/>
            <color rgb="FF000000"/>
            <rFont val="Tahoma"/>
            <family val="2"/>
          </rPr>
          <t xml:space="preserve">
</t>
        </r>
        <r>
          <rPr>
            <sz val="10"/>
            <color rgb="FF000000"/>
            <rFont val="Tahoma"/>
            <family val="2"/>
          </rPr>
          <t>Enter the mile marker for the end point of the segment to hike.</t>
        </r>
      </text>
    </comment>
    <comment ref="I4" authorId="0" shapeId="0" xr:uid="{D9CDE726-F565-DF44-8928-F842660CD779}">
      <text>
        <r>
          <rPr>
            <b/>
            <sz val="10"/>
            <color rgb="FF000000"/>
            <rFont val="Tahoma"/>
            <family val="2"/>
          </rPr>
          <t>Go. Own It:</t>
        </r>
        <r>
          <rPr>
            <sz val="10"/>
            <color rgb="FF000000"/>
            <rFont val="Tahoma"/>
            <family val="2"/>
          </rPr>
          <t xml:space="preserve">
</t>
        </r>
        <r>
          <rPr>
            <sz val="10"/>
            <color rgb="FF000000"/>
            <rFont val="Tahoma"/>
            <family val="2"/>
          </rPr>
          <t xml:space="preserve">This cell will calculate the distance hiked for the segment based on the entry in 'Mile Start' and the entry in 'Mile End'
</t>
        </r>
      </text>
    </comment>
    <comment ref="J4" authorId="0" shapeId="0" xr:uid="{79DA9E60-3F8A-F94E-8E6D-81A9E5FBEB5D}">
      <text>
        <r>
          <rPr>
            <b/>
            <sz val="10"/>
            <color rgb="FF000000"/>
            <rFont val="Tahoma"/>
            <family val="2"/>
          </rPr>
          <t>Go. Own It:</t>
        </r>
        <r>
          <rPr>
            <sz val="10"/>
            <color rgb="FF000000"/>
            <rFont val="Tahoma"/>
            <family val="2"/>
          </rPr>
          <t xml:space="preserve">
</t>
        </r>
        <r>
          <rPr>
            <sz val="10"/>
            <color rgb="FF000000"/>
            <rFont val="Tahoma"/>
            <family val="2"/>
          </rPr>
          <t>This cell will calculate the cumulative miles hiked to this point, based on the previous day and end of the current day.</t>
        </r>
      </text>
    </comment>
    <comment ref="K4" authorId="0" shapeId="0" xr:uid="{DEEE8914-C940-C241-B6E8-2797A7D1A1A8}">
      <text>
        <r>
          <rPr>
            <b/>
            <sz val="10"/>
            <color rgb="FF000000"/>
            <rFont val="Tahoma"/>
            <family val="2"/>
          </rPr>
          <t>Go. Own It:</t>
        </r>
        <r>
          <rPr>
            <sz val="10"/>
            <color rgb="FF000000"/>
            <rFont val="Tahoma"/>
            <family val="2"/>
          </rPr>
          <t xml:space="preserve">
</t>
        </r>
        <r>
          <rPr>
            <sz val="10"/>
            <color rgb="FF000000"/>
            <rFont val="Tahoma"/>
            <family val="2"/>
          </rPr>
          <t xml:space="preserve">You can use this column to keep track of the distance hiked from the last resupply. </t>
        </r>
      </text>
    </comment>
    <comment ref="L4" authorId="0" shapeId="0" xr:uid="{48F5DC23-6D43-4941-A896-099D16ECCF6D}">
      <text>
        <r>
          <rPr>
            <b/>
            <sz val="10"/>
            <color rgb="FF000000"/>
            <rFont val="Tahoma"/>
            <family val="2"/>
          </rPr>
          <t>Go. Own It:</t>
        </r>
        <r>
          <rPr>
            <sz val="10"/>
            <color rgb="FF000000"/>
            <rFont val="Tahoma"/>
            <family val="2"/>
          </rPr>
          <t xml:space="preserve">
</t>
        </r>
        <r>
          <rPr>
            <sz val="10"/>
            <color rgb="FF000000"/>
            <rFont val="Tahoma"/>
            <family val="2"/>
          </rPr>
          <t xml:space="preserve">Both of these cells (total ascent and total descent) 
</t>
        </r>
        <r>
          <rPr>
            <sz val="10"/>
            <color rgb="FF000000"/>
            <rFont val="Tahoma"/>
            <family val="2"/>
          </rPr>
          <t xml:space="preserve">contain data that can be obtained by using a tool such as the Guthook app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Lisa Garruzzo</author>
  </authors>
  <commentList>
    <comment ref="A6" authorId="0" shapeId="0" xr:uid="{00319C04-6D7C-C34F-BC9F-8085EE78A9A0}">
      <text>
        <r>
          <rPr>
            <b/>
            <sz val="10"/>
            <color rgb="FF000000"/>
            <rFont val="Tahoma"/>
            <family val="2"/>
          </rPr>
          <t>Lisa Garruzzo:</t>
        </r>
        <r>
          <rPr>
            <sz val="10"/>
            <color rgb="FF000000"/>
            <rFont val="Tahoma"/>
            <family val="2"/>
          </rPr>
          <t xml:space="preserve">
</t>
        </r>
        <r>
          <rPr>
            <sz val="10"/>
            <color rgb="FF000000"/>
            <rFont val="Tahoma"/>
            <family val="2"/>
          </rPr>
          <t xml:space="preserve">Need to buy Joe new baselayer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K13" authorId="0" shapeId="0" xr:uid="{7CFEE0DE-470D-DA40-9FD1-1EC8CFE33B42}">
      <text>
        <r>
          <rPr>
            <b/>
            <sz val="10"/>
            <color rgb="FF000000"/>
            <rFont val="Tahoma"/>
            <family val="2"/>
          </rPr>
          <t>Go. Own It:</t>
        </r>
        <r>
          <rPr>
            <sz val="10"/>
            <color rgb="FF000000"/>
            <rFont val="Tahoma"/>
            <family val="2"/>
          </rPr>
          <t xml:space="preserve">
</t>
        </r>
        <r>
          <rPr>
            <sz val="10"/>
            <color rgb="FF000000"/>
            <rFont val="Tahoma"/>
            <family val="2"/>
          </rPr>
          <t xml:space="preserve">This value of this cell is grabbed from the 'Costs' sheet to be tallied as part of the total hiking trip costs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M6" authorId="0" shapeId="0" xr:uid="{0685C6E6-95D0-D846-BA03-26C007B61A30}">
      <text>
        <r>
          <rPr>
            <b/>
            <sz val="10"/>
            <color rgb="FF000000"/>
            <rFont val="Tahoma"/>
            <family val="2"/>
          </rPr>
          <t>Go. Own It:</t>
        </r>
        <r>
          <rPr>
            <sz val="10"/>
            <color rgb="FF000000"/>
            <rFont val="Tahoma"/>
            <family val="2"/>
          </rPr>
          <t xml:space="preserve">
</t>
        </r>
        <r>
          <rPr>
            <sz val="10"/>
            <color rgb="FF000000"/>
            <rFont val="Tahoma"/>
            <family val="2"/>
          </rPr>
          <t xml:space="preserve">Go. Own It:
</t>
        </r>
        <r>
          <rPr>
            <sz val="10"/>
            <color rgb="FF000000"/>
            <rFont val="Tahoma"/>
            <family val="2"/>
          </rPr>
          <t xml:space="preserve">This value of this cell is grabbed from the 'Costs' sheet to be tallied as part of the total hiking trip costs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 Own It®</author>
    <author>Go. Own It</author>
  </authors>
  <commentList>
    <comment ref="I2" authorId="0" shapeId="0" xr:uid="{E2CA3381-7A9B-DA44-A76F-27716AF6B52A}">
      <text>
        <r>
          <rPr>
            <b/>
            <sz val="10"/>
            <color rgb="FF000000"/>
            <rFont val="Tahoma"/>
            <family val="2"/>
          </rPr>
          <t>Go. Own It®:</t>
        </r>
        <r>
          <rPr>
            <sz val="10"/>
            <color rgb="FF000000"/>
            <rFont val="Tahoma"/>
            <family val="2"/>
          </rPr>
          <t xml:space="preserve">
</t>
        </r>
        <r>
          <rPr>
            <sz val="10"/>
            <color rgb="FF000000"/>
            <rFont val="Tahoma"/>
            <family val="2"/>
          </rPr>
          <t>'Our Serving Size' is the number of recommended servings that we use for each of our individual meals (for the most part, there are some exceptions).</t>
        </r>
      </text>
    </comment>
    <comment ref="J2" authorId="0" shapeId="0" xr:uid="{10869147-78DD-B147-B186-1C244960F7B4}">
      <text>
        <r>
          <rPr>
            <b/>
            <sz val="10"/>
            <color rgb="FF000000"/>
            <rFont val="Tahoma"/>
            <family val="2"/>
          </rPr>
          <t>Go. Own It®:</t>
        </r>
        <r>
          <rPr>
            <sz val="10"/>
            <color rgb="FF000000"/>
            <rFont val="Tahoma"/>
            <family val="2"/>
          </rPr>
          <t xml:space="preserve">
</t>
        </r>
        <r>
          <rPr>
            <sz val="10"/>
            <color rgb="FF000000"/>
            <rFont val="Tahoma"/>
            <family val="2"/>
          </rPr>
          <t>This is the number of individual meals per unit item purchased (based on our serving size). This is a general rule; however, some exceptions apply.</t>
        </r>
      </text>
    </comment>
    <comment ref="A45" authorId="1" shapeId="0" xr:uid="{76FFFFAF-C0E1-7049-A3FC-DA458CC91547}">
      <text>
        <r>
          <rPr>
            <b/>
            <sz val="10"/>
            <color rgb="FF000000"/>
            <rFont val="Tahoma"/>
            <family val="2"/>
          </rPr>
          <t>Go. Own It:</t>
        </r>
        <r>
          <rPr>
            <sz val="10"/>
            <color rgb="FF000000"/>
            <rFont val="Tahoma"/>
            <family val="2"/>
          </rPr>
          <t xml:space="preserve">
</t>
        </r>
        <r>
          <rPr>
            <sz val="10"/>
            <color rgb="FF000000"/>
            <rFont val="Tahoma"/>
            <family val="2"/>
          </rPr>
          <t>This is an example of a RECIPE item that contains multiple ingredients to create the food item listed. The nutritional values for each individual ingredient is listed separately in the 'RECIPES' sheet and then all of the ingredients for the item (named in Column A here) are subtotalled and pulled from the RECIPE sheet and listed here in Columns N through S</t>
        </r>
      </text>
    </comment>
    <comment ref="A90" authorId="1" shapeId="0" xr:uid="{935A2E52-6487-D748-9D8F-05ACB7D4110D}">
      <text>
        <r>
          <rPr>
            <b/>
            <sz val="10"/>
            <color rgb="FF000000"/>
            <rFont val="Tahoma"/>
            <family val="2"/>
          </rPr>
          <t>Go. Own It:</t>
        </r>
        <r>
          <rPr>
            <sz val="10"/>
            <color rgb="FF000000"/>
            <rFont val="Tahoma"/>
            <family val="2"/>
          </rPr>
          <t xml:space="preserve">
</t>
        </r>
        <r>
          <rPr>
            <sz val="10"/>
            <color rgb="FF000000"/>
            <rFont val="Tahoma"/>
            <family val="2"/>
          </rPr>
          <t xml:space="preserve">The row below is used to determine column numbers so that the values for the nutritional information for each food item can be pulled into the food schedules.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A2" authorId="0" shapeId="0" xr:uid="{99FADDA7-F9A1-B24A-A4F8-C4C8AEFFD9D6}">
      <text>
        <r>
          <rPr>
            <b/>
            <sz val="10"/>
            <color rgb="FF000000"/>
            <rFont val="Tahoma"/>
            <family val="2"/>
          </rPr>
          <t>Go. Own It:</t>
        </r>
        <r>
          <rPr>
            <sz val="10"/>
            <color rgb="FF000000"/>
            <rFont val="Tahoma"/>
            <family val="2"/>
          </rPr>
          <t xml:space="preserve">
</t>
        </r>
        <r>
          <rPr>
            <sz val="10"/>
            <color rgb="FF000000"/>
            <rFont val="Tahoma"/>
            <family val="2"/>
          </rPr>
          <t xml:space="preserve">The values calculated here were obtained by using the formula mentioned in Inga Aksamit's book 'The Hungry Spork: A Long Distance Hiker's Guide to Meal Planning'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A2" authorId="0" shapeId="0" xr:uid="{B5FAAD75-8473-1549-A7B3-069BAA92579C}">
      <text>
        <r>
          <rPr>
            <b/>
            <sz val="10"/>
            <color rgb="FF000000"/>
            <rFont val="Tahoma"/>
            <family val="2"/>
          </rPr>
          <t>Go. Own It:</t>
        </r>
        <r>
          <rPr>
            <sz val="10"/>
            <color rgb="FF000000"/>
            <rFont val="Tahoma"/>
            <family val="2"/>
          </rPr>
          <t xml:space="preserve">
</t>
        </r>
        <r>
          <rPr>
            <sz val="10"/>
            <color rgb="FF000000"/>
            <rFont val="Calibri"/>
            <family val="2"/>
          </rPr>
          <t xml:space="preserve">The values calculated here were obtained by using the formula mentioned in Inga Aksamit's book 'The Hungry Spork: A Long Distance Hiker's Guide to Meal Planning'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A2" authorId="0" shapeId="0" xr:uid="{D2F1997B-8E21-E940-AC8F-1349F2371F53}">
      <text>
        <r>
          <rPr>
            <b/>
            <sz val="10"/>
            <color rgb="FF000000"/>
            <rFont val="Tahoma"/>
            <family val="2"/>
          </rPr>
          <t>Go. Own It®:</t>
        </r>
        <r>
          <rPr>
            <sz val="10"/>
            <color rgb="FF000000"/>
            <rFont val="Tahoma"/>
            <family val="2"/>
          </rPr>
          <t xml:space="preserve">
</t>
        </r>
        <r>
          <rPr>
            <sz val="10"/>
            <color rgb="FF000000"/>
            <rFont val="Calibri"/>
            <family val="2"/>
            <scheme val="minor"/>
          </rPr>
          <t>The values calculated here were obtained by using the formula mentioned in Inga Aksamit's book 'The Hungry Spork: A Long Distance Hiker's Guide to Meal Planning'</t>
        </r>
        <r>
          <rPr>
            <sz val="10"/>
            <color rgb="FF000000"/>
            <rFont val="Calibri"/>
            <family val="2"/>
            <scheme val="minor"/>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A2" authorId="0" shapeId="0" xr:uid="{5123795E-1956-5248-8D4A-FAF6CDD9FF1A}">
      <text>
        <r>
          <rPr>
            <b/>
            <sz val="10"/>
            <color rgb="FF000000"/>
            <rFont val="Tahoma"/>
            <family val="2"/>
          </rPr>
          <t>Go. Own It®:</t>
        </r>
        <r>
          <rPr>
            <sz val="10"/>
            <color rgb="FF000000"/>
            <rFont val="Tahoma"/>
            <family val="2"/>
          </rPr>
          <t xml:space="preserve">
</t>
        </r>
        <r>
          <rPr>
            <sz val="10"/>
            <color rgb="FF000000"/>
            <rFont val="Calibri"/>
            <family val="2"/>
            <scheme val="minor"/>
          </rPr>
          <t>The values calculated here were obtained by using the formula mentioned in Inga Aksamit's book 'The Hungry Spork: A Long Distance Hiker's Guide to Meal Planning'</t>
        </r>
        <r>
          <rPr>
            <sz val="10"/>
            <color rgb="FF000000"/>
            <rFont val="Calibri"/>
            <family val="2"/>
            <scheme val="minor"/>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Go. Own It</author>
  </authors>
  <commentList>
    <comment ref="A4" authorId="0" shapeId="0" xr:uid="{AD45E197-B5D2-8146-9D96-8C70B5D31CBE}">
      <text>
        <r>
          <rPr>
            <b/>
            <sz val="10"/>
            <color rgb="FF000000"/>
            <rFont val="Tahoma"/>
            <family val="2"/>
          </rPr>
          <t>Go. Own It:</t>
        </r>
        <r>
          <rPr>
            <sz val="10"/>
            <color rgb="FF000000"/>
            <rFont val="Tahoma"/>
            <family val="2"/>
          </rPr>
          <t xml:space="preserve">
</t>
        </r>
        <r>
          <rPr>
            <sz val="10"/>
            <color rgb="FF000000"/>
            <rFont val="Tahoma"/>
            <family val="2"/>
          </rPr>
          <t xml:space="preserve">The titels in the blue areas are the single food item that is entered into the 'Master Food List'. The subtotals are the nutritional values that are entered into the 'Master Food List' for each 'RECIPE'
</t>
        </r>
      </text>
    </comment>
  </commentList>
</comments>
</file>

<file path=xl/sharedStrings.xml><?xml version="1.0" encoding="utf-8"?>
<sst xmlns="http://schemas.openxmlformats.org/spreadsheetml/2006/main" count="8580" uniqueCount="1328">
  <si>
    <t>Date</t>
  </si>
  <si>
    <t>Day</t>
  </si>
  <si>
    <t>Mile Start</t>
  </si>
  <si>
    <t>Mile End</t>
  </si>
  <si>
    <t>Cumulative Miles</t>
  </si>
  <si>
    <t>Start Location</t>
  </si>
  <si>
    <t>End Location</t>
  </si>
  <si>
    <t>Elevation (ft)</t>
  </si>
  <si>
    <t>Miles</t>
  </si>
  <si>
    <t>Total Ascent</t>
  </si>
  <si>
    <t>Total Descent</t>
  </si>
  <si>
    <t>Kearsarge Pass/Onion Valley -&gt; Independence</t>
  </si>
  <si>
    <t>n/a</t>
  </si>
  <si>
    <t>Crossings / Landmarks</t>
  </si>
  <si>
    <t>Muir Trail Ranch Trail</t>
  </si>
  <si>
    <t>Muir Trail Ranch</t>
  </si>
  <si>
    <t>Muir Trail Ranch / Zero Day</t>
  </si>
  <si>
    <t>Tent Site (Sallie Keyes Lakes)</t>
  </si>
  <si>
    <t>Tent Site (Bear Creek, Bear Ridge)</t>
  </si>
  <si>
    <t>Tent Site (Lake Virginia)</t>
  </si>
  <si>
    <t>Tent Site (Upper Crater Meadow)</t>
  </si>
  <si>
    <t>Horseshoe Lake Tr, Red Cones, Red's Meadow Jct</t>
  </si>
  <si>
    <t>Red's Meadow Connector / Red's Meadow Resort</t>
  </si>
  <si>
    <t>Red's Meadow Resort / Zero Day</t>
  </si>
  <si>
    <t>Tent Site (Shadow Lake)</t>
  </si>
  <si>
    <t>Highway 120 (Tuolumne Meadows)</t>
  </si>
  <si>
    <t>Tent Site (Sunrise High Sierra Camp)</t>
  </si>
  <si>
    <t>Happy Isles JMT Trailhead</t>
  </si>
  <si>
    <t>Notes</t>
  </si>
  <si>
    <t>Miles from Last Resupply</t>
  </si>
  <si>
    <t>-</t>
  </si>
  <si>
    <t>Heart Lake, Selden Pass, Marie Lake, Rose Lake Trail Jct, Before Bear Ridge JCT</t>
  </si>
  <si>
    <t>VVR Ferry</t>
  </si>
  <si>
    <t>Vermillion Valley Resort / Zero Day</t>
  </si>
  <si>
    <t>Silver Pass Lake</t>
  </si>
  <si>
    <t>Mono Pass Jct, Mott Lake Jct</t>
  </si>
  <si>
    <t>Silver Pass, Chief Lake Trail Jct, Goodale Pass Jct, Cascade Valley Tr, McGee Pass Tr Jct</t>
  </si>
  <si>
    <t>All downhill</t>
  </si>
  <si>
    <t>Relatively downhill after going up short climb over Selden Pass</t>
  </si>
  <si>
    <t>Mostly downhill, pretty steady terrain</t>
  </si>
  <si>
    <t xml:space="preserve">Mostly uphill, going from under 8000ft to almost 10000ft. </t>
  </si>
  <si>
    <t>All level terrain</t>
  </si>
  <si>
    <t>Permit Itinerary Stop
(* indicates approximate location, actual location not in permit list)</t>
  </si>
  <si>
    <t>SEKI - Charlotte Lake (63)</t>
  </si>
  <si>
    <t>Tent Site (Near Charlotte Lake Trail)</t>
  </si>
  <si>
    <t>Glen Pass / Rae Lakes / Ranger Station</t>
  </si>
  <si>
    <t>SEKI - Rae Lakes (62)</t>
  </si>
  <si>
    <t>SEKI - Woods Creek JCT (58)</t>
  </si>
  <si>
    <r>
      <t>Mostly downhill. There's a small ascension near the end</t>
    </r>
    <r>
      <rPr>
        <sz val="12"/>
        <color theme="1"/>
        <rFont val="Arial"/>
        <family val="2"/>
      </rPr>
      <t>. Might want to push a little farther if possible, because the next day is Pinchot Pass and if we want to get over the pass before 1pm, we should push to go farther this day or push for early start tomorrow.</t>
    </r>
  </si>
  <si>
    <t>Should try to get up early to get up over Pinchot before 1pm</t>
  </si>
  <si>
    <t>Sawmill Pass Trail / Pinchot Pass</t>
  </si>
  <si>
    <r>
      <t xml:space="preserve">Ranger Station / S. Fork Woods Creek / Dollar Lake / Baxter Pass Trail / </t>
    </r>
    <r>
      <rPr>
        <sz val="12"/>
        <color theme="1"/>
        <rFont val="Arial"/>
        <family val="2"/>
      </rPr>
      <t xml:space="preserve">Woods Creek / </t>
    </r>
  </si>
  <si>
    <t>SEKI - Upper Basin (46)</t>
  </si>
  <si>
    <t>Hike to base of Mather Pass. Since Mather Pass is just past this point, we should probably camp and plan to traverse the pass the next day.</t>
  </si>
  <si>
    <t>Taboose Pass Trail / South Fork Kings River crossing (BEWARE, DANGEROUS CROSSING)</t>
  </si>
  <si>
    <t>After going over Mather Pass, it's all downhill</t>
  </si>
  <si>
    <t>Mather Pass / Palisade Lakes</t>
  </si>
  <si>
    <t>SEKI - Palisade Basin (45)</t>
  </si>
  <si>
    <t>This is a long stretch but gradual descent and ascent for the distance it covers (compared to other segments)</t>
  </si>
  <si>
    <t>Wire Gate (mi 3.1) / Middle Fork Trail (mi. 5.1) / Wire Fence (mi. 7.2) / Bishop Pass Trail (mi 8.6)</t>
  </si>
  <si>
    <t>Tent Site (Big Pete Meadow, 2.5 mi past Bishop Pass)</t>
  </si>
  <si>
    <t>SEKI - LeConte Canyon (39)</t>
  </si>
  <si>
    <r>
      <t>Tent Site (</t>
    </r>
    <r>
      <rPr>
        <sz val="12"/>
        <color theme="1"/>
        <rFont val="Arial"/>
        <family val="2"/>
      </rPr>
      <t xml:space="preserve">on East side of </t>
    </r>
    <r>
      <rPr>
        <sz val="12"/>
        <color theme="1"/>
        <rFont val="Arial"/>
        <family val="2"/>
      </rPr>
      <t>Rae Lakes)</t>
    </r>
  </si>
  <si>
    <r>
      <t xml:space="preserve">Tent Site (Near Woods Creek / </t>
    </r>
    <r>
      <rPr>
        <sz val="12"/>
        <color theme="1"/>
        <rFont val="Arial"/>
        <family val="2"/>
      </rPr>
      <t>1.7mi</t>
    </r>
    <r>
      <rPr>
        <sz val="12"/>
        <color theme="1"/>
        <rFont val="Arial"/>
        <family val="2"/>
      </rPr>
      <t xml:space="preserve"> past Paradise Valley Junction)</t>
    </r>
  </si>
  <si>
    <r>
      <t xml:space="preserve">Tent Site (Lake Marjorie, </t>
    </r>
    <r>
      <rPr>
        <sz val="12"/>
        <color theme="1"/>
        <rFont val="Arial"/>
        <family val="2"/>
      </rPr>
      <t xml:space="preserve">1.4mi </t>
    </r>
    <r>
      <rPr>
        <sz val="12"/>
        <color theme="1"/>
        <rFont val="Arial"/>
        <family val="2"/>
      </rPr>
      <t>past Pinchot Pass)</t>
    </r>
  </si>
  <si>
    <r>
      <t xml:space="preserve">Tent Site (1.3mi </t>
    </r>
    <r>
      <rPr>
        <sz val="12"/>
        <color theme="1"/>
        <rFont val="Arial"/>
        <family val="2"/>
      </rPr>
      <t>before Mather Pass</t>
    </r>
    <r>
      <rPr>
        <sz val="12"/>
        <color theme="1"/>
        <rFont val="Arial"/>
        <family val="2"/>
      </rPr>
      <t>, at base of pass)</t>
    </r>
  </si>
  <si>
    <r>
      <t>Tent Site (</t>
    </r>
    <r>
      <rPr>
        <sz val="12"/>
        <color theme="1"/>
        <rFont val="Arial"/>
        <family val="2"/>
      </rPr>
      <t xml:space="preserve">2.5mi </t>
    </r>
    <r>
      <rPr>
        <sz val="12"/>
        <color theme="1"/>
        <rFont val="Arial"/>
        <family val="2"/>
      </rPr>
      <t>past Palisade Lakes)</t>
    </r>
  </si>
  <si>
    <t>Helen Lake</t>
  </si>
  <si>
    <t>The trail meanders along Middle Fork Kings River</t>
  </si>
  <si>
    <t>This is the approach to Muir Pass. We can push to go over pass or stay at Helen Lake. The thought was that if there's snow, it will be tough going over Muir Pass. Might better stop before so we can start early the next morning and get over the pass early. Space for 2 tents on among slabs next to smal tarn above Helen Lake. Head 200' NW from trail.</t>
  </si>
  <si>
    <t xml:space="preserve">Muir pass / Wanda Lake / Sapphire Lake </t>
  </si>
  <si>
    <t>Evolution Lake (North End)</t>
  </si>
  <si>
    <t>SEKI - Evolution Basin (34)</t>
  </si>
  <si>
    <t>Up and over Muir Pass to the end of Evolution Lake (very long lake, camp at north end). After Muir Pass it is all downhill. Can push for more miles to shorten the distance to MTR the next day</t>
  </si>
  <si>
    <t xml:space="preserve">All downhill, but there is an altternate route we may need to take at Evolution Meadow (there's a sign) if the water level in the creek is high. </t>
  </si>
  <si>
    <t>MTR Trail JCT is 1.8mi past Piute Pass Trail</t>
  </si>
  <si>
    <t>Darwin Bench JCT / Colby Meadow / McClure Meadow Ranger Station / Evolution Meadow / Piute Pass Trail</t>
  </si>
  <si>
    <t>Sallie Keyes Lakes JMT near Florence Lake</t>
  </si>
  <si>
    <t>This is a LONG STEEP climb out from Muir Trail Ranch. All uphill. Going from under 8000ft to over 10000ft</t>
  </si>
  <si>
    <t>MTR/JMT JCT / Senger Creek / Sallie Keyes Creek / Sallie Keyes Lakes (campt north of second lake which will appear on left). 1.4mi before Selden Pass</t>
  </si>
  <si>
    <t>Bear Twin Lakes (Lake Edison)</t>
  </si>
  <si>
    <t>Bear Ridge Trail JCT</t>
  </si>
  <si>
    <r>
      <t>Short climb over mountain then downhill to VVR ferry</t>
    </r>
    <r>
      <rPr>
        <sz val="12"/>
        <color theme="1"/>
        <rFont val="Arial"/>
        <family val="2"/>
      </rPr>
      <t>. Do not take the Bear Ridge Trail (first JCT), because it goes to south side of Lake Edison. The ferry is on the north side.</t>
    </r>
  </si>
  <si>
    <t>Mono Creek</t>
  </si>
  <si>
    <t>Pick-up Mono Headwaters (back of the lake) at 9:45 and 4:45 daily. Pick up location is the dock on the beach. Should you arrive at the Mono Creek landing side with a large group outside of these times, please call 559-259-4000 for pickup. (AT&amp;T only). Fare for the water taxi is $13 per person one way, $23. 00 round trip, and can be purchased in the general store before and after your ride. NO Reservations needed.</t>
  </si>
  <si>
    <t>VVR Trail</t>
  </si>
  <si>
    <t>Silver Pass Lake JMT (north of Edison Lake)</t>
  </si>
  <si>
    <r>
      <t>All uphill climb to Silver Pass Lake from VVR, going from under 8000ft to over 10000ft</t>
    </r>
    <r>
      <rPr>
        <sz val="12"/>
        <color theme="1"/>
        <rFont val="Arial"/>
        <family val="2"/>
      </rPr>
      <t>. Camp here before Silver Pass (.5mi ahead)</t>
    </r>
  </si>
  <si>
    <t>Virginia Lake JMT (Duck Pass)</t>
  </si>
  <si>
    <r>
      <t>Ram Lake Trail, Duck Pass Tr Jct, Duck Lake, Before Horseshoe Lake Tr</t>
    </r>
    <r>
      <rPr>
        <sz val="12"/>
        <color theme="1"/>
        <rFont val="Arial"/>
        <family val="2"/>
      </rPr>
      <t xml:space="preserve"> (.3 mi ahead)</t>
    </r>
  </si>
  <si>
    <t>Deer Creek &amp; JMT Junction (South of Devil's Postpile)</t>
  </si>
  <si>
    <t>Red's Meadow JCT</t>
  </si>
  <si>
    <r>
      <t xml:space="preserve">Red's Meadow </t>
    </r>
    <r>
      <rPr>
        <sz val="12"/>
        <color theme="1"/>
        <rFont val="Arial"/>
        <family val="2"/>
      </rPr>
      <t>JCT</t>
    </r>
  </si>
  <si>
    <t xml:space="preserve">Mammoth Lakes / Devil's Postpile JCT / JMT-PCT JCT / Johnston Lake JCT, Minaret Lake JCT / Gladys Lake / Rosalie Lake / </t>
  </si>
  <si>
    <t>Rosalie Lake (JMT - north of Devil's Postpile)</t>
  </si>
  <si>
    <t>Tent Site (past Davis Lake Trail)</t>
  </si>
  <si>
    <t>Agnew Meadows JCT / Ediza Lake JCT /  Garnet Lake / Altha Lake / Ruby Lake /  Gerald Lake / JMT-PCT JCT /  Island Pass / Davis Lake Tr</t>
  </si>
  <si>
    <t>Waugh Lake (Rush Creek)</t>
  </si>
  <si>
    <t>Pretty steady terrain. Tent site .6mi past Davis Lake Trail</t>
  </si>
  <si>
    <t>Vogelsang Trail JCT (Tent Sites)</t>
  </si>
  <si>
    <t>3.5mi uphill climb over Donohue Pass, then all downhill</t>
  </si>
  <si>
    <t xml:space="preserve">Marie Lakes Trail JCT / Ansel Adams Wilderness / Donohue Pass / Lyell Fork </t>
  </si>
  <si>
    <t>Up and over Glen Pass. Ranger Station is a little way beyond this tent site. There should be bear box here.
Notice: Camping in Rae Lakes basin is restricted to one night per lake from Dollar Lake to Glen Pass.</t>
  </si>
  <si>
    <r>
      <t>Rafferty Creek, Gaylor Lakes JCT, Dana Fork Bridge, Tuolumne Lodge JCT, Puppy Dome</t>
    </r>
    <r>
      <rPr>
        <sz val="12"/>
        <color theme="1"/>
        <rFont val="Arial"/>
        <family val="2"/>
      </rPr>
      <t>/Parking Lot Area</t>
    </r>
  </si>
  <si>
    <t>Backpacker Campground &amp; Tuolumne Meadows Store</t>
  </si>
  <si>
    <t>Yosemite - Tuolumne Meadows / Lyell Canyon</t>
  </si>
  <si>
    <t>If can't get a site at backpacker's campground, we will need to hike on another 4 miles out of Tuolumne Meadows, because camping is allowed only in designated areas</t>
  </si>
  <si>
    <t xml:space="preserve">Soda Springs, Tuolumne River, Highway 120, Campground JCT, Cathedral Lakes JCT, Cathedral Peak, Columbia Finger, Echo Creek Trail JCT, </t>
  </si>
  <si>
    <t>Slight gradual incline over mile 2 to mile 8. Tent site is .2 mi before Sunrise Lakes/Tenaya Lake Trailhead</t>
  </si>
  <si>
    <t>Little Yosemite Valley Camp</t>
  </si>
  <si>
    <t>All downhill. Splitting last leg up so that we arrive at Happy Isles earlier in day, not end of day; however we will be arriving on a Saturday</t>
  </si>
  <si>
    <t>Yosemite - John Muir Trail - Little Yosemite</t>
  </si>
  <si>
    <t>All Downhill</t>
  </si>
  <si>
    <t>Isberg Pass (alternate route trail), Little Yosemite Valley Campground Trail JCT, Mist Trail JCT, Nevada Fall, Clark Point JCT, Mist Trail &amp; Stock JCT (to Nevada Fall)</t>
  </si>
  <si>
    <t xml:space="preserve">Tenaya Lake/Sunrise Lakes Trail JCT, Forsyth Trail JCT, Mercel Lake JCT, Clouds Rest JCT, View of Half Dome, Half Dome JCT, Half Dome Sign, </t>
  </si>
  <si>
    <t>SEKI - Kearsarge Lakes (64)</t>
  </si>
  <si>
    <t>Onion Valley / Zero Day</t>
  </si>
  <si>
    <t>Onion Valley / Zero Day (Mt. Williamson Motel drops off at Onion Valley Campground in morning)</t>
  </si>
  <si>
    <r>
      <rPr>
        <sz val="12"/>
        <color theme="1"/>
        <rFont val="Arial"/>
        <family val="2"/>
      </rPr>
      <t>*</t>
    </r>
    <r>
      <rPr>
        <sz val="12"/>
        <color theme="1"/>
        <rFont val="Arial"/>
        <family val="2"/>
      </rPr>
      <t>Crater Meadow, Upper (JMT - South of Devile's Postpile)  (if can fill in Other -then insert Red's Meadow)</t>
    </r>
  </si>
  <si>
    <r>
      <rPr>
        <sz val="12"/>
        <color theme="1"/>
        <rFont val="Arial"/>
        <family val="2"/>
      </rPr>
      <t>*</t>
    </r>
    <r>
      <rPr>
        <sz val="12"/>
        <color theme="1"/>
        <rFont val="Arial"/>
        <family val="2"/>
      </rPr>
      <t>Yosemite - Identify location in notes (Ireland Creek &amp; JMT)</t>
    </r>
  </si>
  <si>
    <r>
      <rPr>
        <sz val="12"/>
        <color theme="1"/>
        <rFont val="Arial"/>
        <family val="2"/>
      </rPr>
      <t>*</t>
    </r>
    <r>
      <rPr>
        <sz val="12"/>
        <color theme="1"/>
        <rFont val="Arial"/>
        <family val="2"/>
      </rPr>
      <t>Yosemite - Identify location in notes (Sunrise Lakes)</t>
    </r>
  </si>
  <si>
    <t>*Quail Meadows JMT (Lake Edison) (if can fill in Other -then insert Vermillion Valley Resort)</t>
  </si>
  <si>
    <r>
      <rPr>
        <sz val="12"/>
        <color theme="1"/>
        <rFont val="Arial"/>
        <family val="2"/>
      </rPr>
      <t>*Other / Don't Know (near Senger Creek JMT - Sallie Keys near Florence Lake) will be at Muir Trail Ranch)</t>
    </r>
  </si>
  <si>
    <t>*Other / Don't Know (near Senger Creek JMT - Sallie Keys near Florence Lake) will be at Muir Trail Ranch)</t>
  </si>
  <si>
    <t>*Other / Don't Know (near Quail Meadows JMT (Lake Edison)) will be at Vermillion Valley Resort)</t>
  </si>
  <si>
    <t>*Other / Don't Know (near Crater Meadow, Upper (JMT - South of Devile's Postpile)) will be at Red's Meadow</t>
  </si>
  <si>
    <t>Date Check In / Arrive</t>
  </si>
  <si>
    <t>Date Check Out / Depart</t>
  </si>
  <si>
    <t>Confirmation #</t>
  </si>
  <si>
    <t>Hotel / Service Name</t>
  </si>
  <si>
    <t>Address</t>
  </si>
  <si>
    <t>Phone #</t>
  </si>
  <si>
    <t>Web / Other Contact</t>
  </si>
  <si>
    <t>Altitude (ft)</t>
  </si>
  <si>
    <t>Price per Night (base)</t>
  </si>
  <si>
    <t>Total Taxes &amp; Fees</t>
  </si>
  <si>
    <t>Total Price</t>
  </si>
  <si>
    <t>Deposit Required</t>
  </si>
  <si>
    <t>Cancellation Fee</t>
  </si>
  <si>
    <t>Free Breakfast</t>
  </si>
  <si>
    <t>Free Parking</t>
  </si>
  <si>
    <t>Internet</t>
  </si>
  <si>
    <t>United Airlines</t>
  </si>
  <si>
    <t>Newark Airport</t>
  </si>
  <si>
    <t>Enterprise</t>
  </si>
  <si>
    <t>780 MCDONNELL ROAD
SAN FRANCISCO, CA 94128</t>
  </si>
  <si>
    <t>650-697-9200</t>
  </si>
  <si>
    <t>SHILO INN SUITES MAMMOTH LAKES</t>
  </si>
  <si>
    <t>2963 MAIN STREET MAMMOTH LAKES, CA 93546</t>
  </si>
  <si>
    <t>P: (760) 965-0544 F: (760) 965-0534</t>
  </si>
  <si>
    <t>http://www.shiloinns.com</t>
  </si>
  <si>
    <t>n/a prior to 24hrs</t>
  </si>
  <si>
    <t>Yes</t>
  </si>
  <si>
    <t>Free</t>
  </si>
  <si>
    <t>Mammoth Lakes Welcome Center</t>
  </si>
  <si>
    <t>2510 Main Street, Mammoth Lakes, California, 93546</t>
  </si>
  <si>
    <t>760-924-5500</t>
  </si>
  <si>
    <t>Pick Up Permit @ 8:00am</t>
  </si>
  <si>
    <t>187 W LINE ST
BISHOP, CA 93514</t>
  </si>
  <si>
    <t>760-873-3704</t>
  </si>
  <si>
    <t>Eastern Sierra Transit Authority
Fare Office
703 Airport Road
Bishop, CA 93514</t>
  </si>
  <si>
    <t>P: 1-800-922-1930</t>
  </si>
  <si>
    <t xml:space="preserve"> www.estransit.com</t>
  </si>
  <si>
    <t>Mt. Williamson Motel
and Base Camp</t>
  </si>
  <si>
    <t>515 S. Edwards St. (Highway 395)
Independence, CA. 93526</t>
  </si>
  <si>
    <t>P: 760-878-2121</t>
  </si>
  <si>
    <t>http://mtwilliamsonmotel.com/resupply/
MtWilliamsonMotel@gmail.com</t>
  </si>
  <si>
    <t>n/a prior to 72hrs</t>
  </si>
  <si>
    <t>Estimated trail completion</t>
  </si>
  <si>
    <t>Backpacker Campground</t>
  </si>
  <si>
    <t>Take YARTS to Merced</t>
  </si>
  <si>
    <t>San Francisco Airport</t>
  </si>
  <si>
    <t>Total:</t>
  </si>
  <si>
    <t>Depart 1:15pm from Kmart (1200 N. Main Street, Bishop) / Drop-Off 2:10pm in front of Post Office (101 S. Edwards St.)</t>
  </si>
  <si>
    <t>Pay on Bus w/ Exact Change</t>
  </si>
  <si>
    <t>9am Shuttle to Onion Valley on Saturday 7/21</t>
  </si>
  <si>
    <t>Complimentary ride to and from Onion Valley Campground: shuttle after breakfast (between 8:00am – 9:00am) to the Onion Valley trail head on July 21.</t>
  </si>
  <si>
    <t>Bishop - Vons/Kmart 1200 N. Main Street to Independence - In front of Post Office @ 101 S. Edwards Street. Use Rome2Rio App and Swiftly App for schedules</t>
  </si>
  <si>
    <t>Friday 
7/20/2018</t>
  </si>
  <si>
    <t>Cancellation by 4PM, 1 day before arrival: penalty 1 night stay charge</t>
  </si>
  <si>
    <t>Yosemite Valley Shuttle is free and will get you around Yosemite 7am to 10pm</t>
  </si>
  <si>
    <t>http://yarts.com
https://www.nps.gov/yose/planyourvisit/publictransportation.htm#CP_JUMP_124727</t>
  </si>
  <si>
    <t xml:space="preserve">http://yarts.com/routes-and-schedules/merced-hwy-140/
fare $13 each to Merced, CA (need exact change)
camp at backpacker campground (places to eat at in area)
go from valley visitor center to Merced transport and get a hotel (el capitan is closest)
or straight to amtrack take train or get a one way car rental
</t>
  </si>
  <si>
    <t>Pickup 4:30pm @ SFO Airport</t>
  </si>
  <si>
    <t>Drop-Off by 1:30pm @ Enterprise</t>
  </si>
  <si>
    <t>Date Package Need to Arrive</t>
  </si>
  <si>
    <t>Date Need to Ship by (Includes lead time for shipping)</t>
  </si>
  <si>
    <t>Anticipated Pickup</t>
  </si>
  <si>
    <t>Type of Package</t>
  </si>
  <si>
    <t>Shipping Method</t>
  </si>
  <si>
    <t>Ship Date</t>
  </si>
  <si>
    <t>Mile</t>
  </si>
  <si>
    <t>Location</t>
  </si>
  <si>
    <t>Phone Number</t>
  </si>
  <si>
    <t>E-Mail</t>
  </si>
  <si>
    <t>Fee</t>
  </si>
  <si>
    <t>Total Cost</t>
  </si>
  <si>
    <t>Weight Limit</t>
  </si>
  <si>
    <t>Website / Instructions</t>
  </si>
  <si>
    <t>5 Gallon Bucket</t>
  </si>
  <si>
    <t>USPS Priority Mail with delivery confirmation</t>
  </si>
  <si>
    <t>3 Weeks Prior to Pickup</t>
  </si>
  <si>
    <t>[Your name]
c/o Muir Trail Ranch
PO Box 176
Lakeshore, CA 93634
*Use online label system</t>
  </si>
  <si>
    <t>No Phone, Use e-mail</t>
  </si>
  <si>
    <t>howdy@muirtrailranch.com</t>
  </si>
  <si>
    <t>$80 paid using online form</t>
  </si>
  <si>
    <t>25lbs</t>
  </si>
  <si>
    <t>http://www.muirtrailranch.com/resupply.html</t>
  </si>
  <si>
    <t>2 Weeks Prior to Pickup</t>
  </si>
  <si>
    <t>Box or 5 Gallon Bucket</t>
  </si>
  <si>
    <t>Vermillion Valley Resort</t>
  </si>
  <si>
    <t>1-559-259-4000</t>
  </si>
  <si>
    <t>info@edisonlake.com</t>
  </si>
  <si>
    <t>http://www.edisonlake.com/hikers/resupply</t>
  </si>
  <si>
    <t>Red's Meadow Resort &amp; Pack Station</t>
  </si>
  <si>
    <t>760-934-2345</t>
  </si>
  <si>
    <t>info@redsmeadow.com</t>
  </si>
  <si>
    <t>http://www.redsmeadow.com/resort/backpackers/</t>
  </si>
  <si>
    <t>Packages may be picked up at Red’s Meadow General Store between 7:00 a.m. and 7:00 p.m. ONLY. They DO sell fuel.</t>
  </si>
  <si>
    <t>Total Cost:</t>
  </si>
  <si>
    <t>Food Prep Begin Date
(4 week prep)</t>
  </si>
  <si>
    <t>First Day to Ship</t>
  </si>
  <si>
    <t>78.4
(Muir Ranch Trail)</t>
  </si>
  <si>
    <t>100.6
(Trail to VVR)</t>
  </si>
  <si>
    <t>$30 (each pkg) collected on Pickup</t>
  </si>
  <si>
    <t>131.1
(Red's Meadow Junction)</t>
  </si>
  <si>
    <t>[Your Name]
Red’s Meadow Resort
P.O. Box 395
Mammoth Lakes, CA 93546
ETA: 8/10/18</t>
  </si>
  <si>
    <t>Meal</t>
  </si>
  <si>
    <t>Stir and serve</t>
  </si>
  <si>
    <t>Stir. Cook for 15-20 minutes</t>
  </si>
  <si>
    <t>Add 2 cups boiling water</t>
  </si>
  <si>
    <t>DO NOT REMOVE OR EDIT ROW BELOW</t>
  </si>
  <si>
    <t>* - NOTE: Can servings sizes may vary from pouch serving sizes. If ordering pouches instead of cans, be sure to change the nutritional information accordingly!!!!</t>
  </si>
  <si>
    <t>https://www.amazon.com/StarKist-Tuna-Creations-Variety-Ounce/dp/B00RJEU3L6/ref=sr_1_1_s_it?s=grocery&amp;rps=1&amp;ie=UTF8&amp;qid=1493243551&amp;sr=1-1&amp;keywords=tuna+pouch&amp;refinements=p_85%3A2470955011&amp;th=1</t>
  </si>
  <si>
    <t>Amazon</t>
  </si>
  <si>
    <t>StarKist</t>
  </si>
  <si>
    <t>4-pack</t>
  </si>
  <si>
    <t>Z-Tuna Packets, variety flavor (1 pouch)</t>
  </si>
  <si>
    <t>https://www.amazon.com/Starbucks-Ready-Place-Roast-Coffee/dp/B00GGRCYU0/ref=sr_1_8_s_it?s=grocery&amp;rps=1&amp;ie=UTF8&amp;qid=1493242128&amp;sr=1-8&amp;keywords=starbucks+via&amp;refinements=p_85%3A2470955011</t>
  </si>
  <si>
    <t>Starbucks</t>
  </si>
  <si>
    <t>Z-Raisins 1 Tbsp (12 grams)</t>
  </si>
  <si>
    <t>https://www.amazon.com/Hoosier-Hill-Farm-American-Powder/dp/B0099XI58S/ref=sr_1_2_a_it?srs=5583893011&amp;ie=UTF8&amp;qid=1493241570&amp;sr=8-2&amp;keywords=milk</t>
  </si>
  <si>
    <t>Hoosier Hill Farm</t>
  </si>
  <si>
    <t>Z-Powdered Whole Milk (1.5 servings / 3tbsp / 19.5g)</t>
  </si>
  <si>
    <t>Acme</t>
  </si>
  <si>
    <t>Quaker Instant Oatmeal Plain</t>
  </si>
  <si>
    <t>Box</t>
  </si>
  <si>
    <t>Z-Instant Oatmeal-plain 2 pkg (1.97 oz/ 56g)</t>
  </si>
  <si>
    <t>https://www.alpineaire.com/us/us/25324-30131-Spicy+Southwest+Hummus</t>
  </si>
  <si>
    <t>Alpine Aire</t>
  </si>
  <si>
    <t>Pouch</t>
  </si>
  <si>
    <r>
      <rPr>
        <sz val="12"/>
        <color theme="1"/>
        <rFont val="Arial"/>
        <family val="2"/>
      </rPr>
      <t>Z-</t>
    </r>
    <r>
      <rPr>
        <sz val="12"/>
        <color theme="1"/>
        <rFont val="Arial"/>
        <family val="2"/>
      </rPr>
      <t>Hummus - Spicy Southwest (freeze-dried) (2 servings / entire pouch)</t>
    </r>
  </si>
  <si>
    <t>https://www.alpineaire.com/us/us/25321-30125-Classic+Guacamole</t>
  </si>
  <si>
    <r>
      <rPr>
        <sz val="12"/>
        <color theme="1"/>
        <rFont val="Arial"/>
        <family val="2"/>
      </rPr>
      <t>Z-</t>
    </r>
    <r>
      <rPr>
        <sz val="12"/>
        <color theme="1"/>
        <rFont val="Arial"/>
        <family val="2"/>
      </rPr>
      <t>Guacamole (freeze-dried) (2 servings / entire pouch)</t>
    </r>
  </si>
  <si>
    <t>Z-Cranberries, Dried 1Tbsp</t>
  </si>
  <si>
    <t>Z-Cinnamon 1tsp (2.6g)</t>
  </si>
  <si>
    <t>Nestle</t>
  </si>
  <si>
    <t>12 oz bag</t>
  </si>
  <si>
    <t>Z-Chocolate Chips, semi-sweet (1 Tbsp / 14g)</t>
  </si>
  <si>
    <t>Domino</t>
  </si>
  <si>
    <t>Z-Brown Sugar (1 Tbsp /3 tsp)</t>
  </si>
  <si>
    <t>https://www.alpineaire.com/us/us/25323-30127-Spicy+Cheddar+Bean+Dip</t>
  </si>
  <si>
    <r>
      <rPr>
        <sz val="12"/>
        <color theme="1"/>
        <rFont val="Arial"/>
        <family val="2"/>
      </rPr>
      <t>Z-</t>
    </r>
    <r>
      <rPr>
        <sz val="12"/>
        <color theme="1"/>
        <rFont val="Arial"/>
        <family val="2"/>
      </rPr>
      <t>Bean Dip - Spicy Cheddar (freeze-dried) (2 servings / entire pouch)</t>
    </r>
  </si>
  <si>
    <t>Z-Almonds, sliced (1 Tbsp / 6g)</t>
  </si>
  <si>
    <t>Mision</t>
  </si>
  <si>
    <t>pkg</t>
  </si>
  <si>
    <t>Tortillas - small fajita size (2 tortillas)</t>
  </si>
  <si>
    <t>http://www.backpackerspantry.com/three-cheese-mac-cheese-2-servings.html</t>
  </si>
  <si>
    <t>Backpacker's Pantry</t>
  </si>
  <si>
    <r>
      <t>Three Cheese Mac &amp; Cheese</t>
    </r>
    <r>
      <rPr>
        <sz val="12"/>
        <color theme="1"/>
        <rFont val="Arial"/>
        <family val="2"/>
      </rPr>
      <t xml:space="preserve"> (2 servings / entire pouch)</t>
    </r>
  </si>
  <si>
    <t>http://www.backpackerspantry.com/spicy-thai-peanut-sauce.html</t>
  </si>
  <si>
    <r>
      <t>Spicy Thai Rice w/ Peanut Sauce</t>
    </r>
    <r>
      <rPr>
        <sz val="12"/>
        <color theme="1"/>
        <rFont val="Arial"/>
        <family val="2"/>
      </rPr>
      <t xml:space="preserve"> (2 servings / entire pouch)</t>
    </r>
  </si>
  <si>
    <t>Snickers</t>
  </si>
  <si>
    <t>https://www.amazon.com/Mountain-House-Scrambled-Eggs-Peppers/dp/B000M7Z2OA/ref=sr_1_1?ie=UTF8&amp;qid=1493085795&amp;sr=8-1&amp;keywords=mountain%2Bhouse%2Bscrambled%2Beggs%2Bwith%2Bham%2B%26%2Bpeppers&amp;th=1</t>
  </si>
  <si>
    <t>Mountain House</t>
  </si>
  <si>
    <t>#10 Can*</t>
  </si>
  <si>
    <r>
      <t xml:space="preserve">Scrambled Eggs with Ham, Red &amp; Green Peppers (2 servings / </t>
    </r>
    <r>
      <rPr>
        <sz val="12"/>
        <color theme="1"/>
        <rFont val="Arial"/>
        <family val="2"/>
      </rPr>
      <t>1.5</t>
    </r>
    <r>
      <rPr>
        <sz val="12"/>
        <color theme="1"/>
        <rFont val="Arial"/>
        <family val="2"/>
      </rPr>
      <t xml:space="preserve"> cup</t>
    </r>
    <r>
      <rPr>
        <sz val="12"/>
        <color theme="1"/>
        <rFont val="Arial"/>
        <family val="2"/>
      </rPr>
      <t>s</t>
    </r>
    <r>
      <rPr>
        <sz val="12"/>
        <color theme="1"/>
        <rFont val="Arial"/>
        <family val="2"/>
      </rPr>
      <t xml:space="preserve"> dry)</t>
    </r>
  </si>
  <si>
    <t>https://www.amazon.com/Mountain-House-Scrambled-Eggs-Bacon/dp/B000M7Z2OK/ref=sr_1_1?ie=UTF8&amp;qid=1493144312&amp;sr=8-1-spons&amp;keywords=mountain+house+scrambled+eggs+with+bacon&amp;psc=1</t>
  </si>
  <si>
    <r>
      <t>Scrambled Eggs with Bacon</t>
    </r>
    <r>
      <rPr>
        <sz val="12"/>
        <color theme="1"/>
        <rFont val="Arial"/>
        <family val="2"/>
      </rPr>
      <t xml:space="preserve"> (2 servings / 1 dry cup)</t>
    </r>
  </si>
  <si>
    <t>Bob's Red Mill</t>
  </si>
  <si>
    <t>1 lb bag</t>
  </si>
  <si>
    <r>
      <t>Protein &amp; Fiber Nutritional Booster (1</t>
    </r>
    <r>
      <rPr>
        <sz val="12"/>
        <color theme="1"/>
        <rFont val="Arial"/>
        <family val="2"/>
      </rPr>
      <t>/2</t>
    </r>
    <r>
      <rPr>
        <sz val="12"/>
        <color theme="1"/>
        <rFont val="Arial"/>
        <family val="2"/>
      </rPr>
      <t xml:space="preserve"> Serving / </t>
    </r>
    <r>
      <rPr>
        <sz val="12"/>
        <color theme="1"/>
        <rFont val="Arial"/>
        <family val="2"/>
      </rPr>
      <t>1</t>
    </r>
    <r>
      <rPr>
        <sz val="12"/>
        <color theme="1"/>
        <rFont val="Arial"/>
        <family val="2"/>
      </rPr>
      <t xml:space="preserve"> Scoop)</t>
    </r>
  </si>
  <si>
    <t>Kellog's</t>
  </si>
  <si>
    <r>
      <t>Pop Tarts (2</t>
    </r>
    <r>
      <rPr>
        <sz val="12"/>
        <color theme="1"/>
        <rFont val="Arial"/>
        <family val="2"/>
      </rPr>
      <t xml:space="preserve"> pastries</t>
    </r>
    <r>
      <rPr>
        <sz val="12"/>
        <color theme="1"/>
        <rFont val="Arial"/>
        <family val="2"/>
      </rPr>
      <t>) - S'Mores</t>
    </r>
  </si>
  <si>
    <t>Pop Tarts (2 Pastries) - Frosted Chocolate Chip Cookie Dough</t>
  </si>
  <si>
    <t>https://www.amazon.com/Planters-Salted-Peanuts-Pound-Container/dp/B002957S2W/ref=sr_1_2_a_it?ie=UTF8&amp;qid=1493240590&amp;sr=8-2&amp;keywords=planters+salted+peanuts</t>
  </si>
  <si>
    <t>Planters</t>
  </si>
  <si>
    <t>Peanuts, salted (2servings, 2oz / 70 pieces)</t>
  </si>
  <si>
    <t>Organics</t>
  </si>
  <si>
    <t>Thrive Life</t>
  </si>
  <si>
    <r>
      <t>Pad Thai</t>
    </r>
    <r>
      <rPr>
        <sz val="12"/>
        <color theme="1"/>
        <rFont val="Arial"/>
        <family val="2"/>
      </rPr>
      <t xml:space="preserve"> (2 servings / entire pouch)</t>
    </r>
  </si>
  <si>
    <t>https://www.amazon.com/Backpackers-Pantry-Mashed-Potatoes-Gravy/dp/B005CP0FOE/ref=sr_1_9?ie=UTF8&amp;qid=1493153483&amp;sr=8-9&amp;keywords=backpackers+pantry+potatoes+beef</t>
  </si>
  <si>
    <t>About 9 servings per can OR 3 meals. Cheaper on Amazon. Amazon was only letting me buy 1 can, there's a limit per customer. Ordering a 6-pack in addition to can on this order. On next order, see if lets me add a can. If not, might have to change to ordering 6-packs.</t>
  </si>
  <si>
    <t>https://www.amazon.com/Mountain-House-Macaroni-and-Cheese/dp/B000M7Z2NQ/ref=sr_1_1?ie=UTF8&amp;qid=1493064567&amp;sr=8-1&amp;keywords=mountain%2Bhouse%2Bmacaroni%2Band%2Bcheese&amp;th=1</t>
  </si>
  <si>
    <t>Macaroni &amp; Cheese (3 servings / 3.75 cups dry)</t>
  </si>
  <si>
    <t>Buy from Acme instead</t>
  </si>
  <si>
    <t>https://www.amazon.com/Milk-Chocolate-Candy-Party-42-Ounce/dp/B0029JIIK4/ref=sr_1_4_a_it?ie=UTF8&amp;qid=1493759425&amp;sr=8-4&amp;keywords=m%26ms&amp;th=1</t>
  </si>
  <si>
    <t>M &amp; M</t>
  </si>
  <si>
    <r>
      <t>M&amp;M’S Milk Chocolate</t>
    </r>
    <r>
      <rPr>
        <sz val="12"/>
        <color theme="1"/>
        <rFont val="Arial"/>
        <family val="2"/>
      </rPr>
      <t xml:space="preserve"> (1 servings / 1.5oz / 1/4cup)</t>
    </r>
  </si>
  <si>
    <t>https://www.amazon.com/KRAVE-Jerky-Black-Cherry-Barbeque/dp/B06XPY4YJX/ref=sr_1_1_a_it?rps=1&amp;ie=UTF8&amp;qid=1493246079&amp;sr=8-1&amp;keywords=krave+black+cherry+barbeque+pork+jerky&amp;refinements=p_85%3A2470955011</t>
  </si>
  <si>
    <t>Krave</t>
  </si>
  <si>
    <t>Pack of 8</t>
  </si>
  <si>
    <r>
      <t xml:space="preserve">Jerky - Pork </t>
    </r>
    <r>
      <rPr>
        <sz val="12"/>
        <color theme="1"/>
        <rFont val="Arial"/>
        <family val="2"/>
      </rPr>
      <t>- Black Cherry BBQ (</t>
    </r>
    <r>
      <rPr>
        <sz val="12"/>
        <color theme="1"/>
        <rFont val="Arial"/>
        <family val="2"/>
      </rPr>
      <t>2.5</t>
    </r>
    <r>
      <rPr>
        <sz val="12"/>
        <color theme="1"/>
        <rFont val="Arial"/>
        <family val="2"/>
      </rPr>
      <t xml:space="preserve"> servings / </t>
    </r>
    <r>
      <rPr>
        <sz val="12"/>
        <color theme="1"/>
        <rFont val="Arial"/>
        <family val="2"/>
      </rPr>
      <t>entire</t>
    </r>
    <r>
      <rPr>
        <sz val="12"/>
        <color theme="1"/>
        <rFont val="Arial"/>
        <family val="2"/>
      </rPr>
      <t xml:space="preserve"> pack)</t>
    </r>
  </si>
  <si>
    <t>https://www.amazon.com/KRAVE-Jerky-Sweet-Chipotle-Ounce/dp/B06XPWBZWS/ref=sr_1_4_s_it?s=grocery&amp;rps=1&amp;ie=UTF8&amp;qid=1493245254&amp;sr=1-4&amp;keywords=krave+sweet+chipotle+beef+jerky&amp;refinements=p_85%3A2470955011</t>
  </si>
  <si>
    <r>
      <t>Jerky - Beef - Sweet Chipotle (2.5</t>
    </r>
    <r>
      <rPr>
        <sz val="12"/>
        <color theme="1"/>
        <rFont val="Arial"/>
        <family val="2"/>
      </rPr>
      <t xml:space="preserve"> servings / entire pack)</t>
    </r>
  </si>
  <si>
    <t>https://www.amazon.com/KRAVE-Jerky-Beef-Chili-Ounce/dp/B06XPPKXF9/ref=sr_1_3_s_it?s=grocery&amp;rps=1&amp;ie=UTF8&amp;qid=1493244952&amp;sr=1-3&amp;keywords=krave+chili+lime+beef+jerky&amp;refinements=p_85%3A2470955011</t>
  </si>
  <si>
    <r>
      <t>Jerky - Beef - Chili Lime (2.5</t>
    </r>
    <r>
      <rPr>
        <sz val="12"/>
        <color theme="1"/>
        <rFont val="Arial"/>
        <family val="2"/>
      </rPr>
      <t xml:space="preserve"> servings / </t>
    </r>
    <r>
      <rPr>
        <sz val="12"/>
        <color theme="1"/>
        <rFont val="Arial"/>
        <family val="2"/>
      </rPr>
      <t>entire</t>
    </r>
    <r>
      <rPr>
        <sz val="12"/>
        <color theme="1"/>
        <rFont val="Arial"/>
        <family val="2"/>
      </rPr>
      <t xml:space="preserve"> pack)</t>
    </r>
  </si>
  <si>
    <t>https://www.amazon.com/Backpackers-Pantry-Jamaican-Chicken-Serving/dp/B005CP0GUM/ref=sr_1_1?ie=UTF8&amp;qid=1493148605&amp;sr=8-1&amp;keywords=backpackers+pantry+jamaican+jerk&amp;th=1</t>
  </si>
  <si>
    <t>Ordering from Backpacker's Pantry site is cheaper</t>
  </si>
  <si>
    <t>http://www.backpackerspantry.com/indian-rice-pudding-2-servings.html</t>
  </si>
  <si>
    <r>
      <t>Indian Rice Pudding</t>
    </r>
    <r>
      <rPr>
        <sz val="12"/>
        <color theme="1"/>
        <rFont val="Arial"/>
        <family val="2"/>
      </rPr>
      <t xml:space="preserve"> (1 serving / 1/2 pouch)</t>
    </r>
  </si>
  <si>
    <t>https://www.amazon.com/Mountain-House-Ice-Cream-Sandwich/dp/B01IWSG2VC/ref=sr_1_1?ie=UTF8&amp;qid=1493147178&amp;sr=8-1&amp;keywords=mountain+house+ice+cream+sandwich&amp;th=1</t>
  </si>
  <si>
    <t>12-pack</t>
  </si>
  <si>
    <t>Ice Cream Sandwich</t>
  </si>
  <si>
    <t>Swiss Miss</t>
  </si>
  <si>
    <r>
      <t xml:space="preserve">Hot Cocoa </t>
    </r>
    <r>
      <rPr>
        <sz val="12"/>
        <color theme="1"/>
        <rFont val="Arial"/>
        <family val="2"/>
      </rPr>
      <t>- Marshmallow Lovers</t>
    </r>
    <r>
      <rPr>
        <sz val="12"/>
        <color theme="1"/>
        <rFont val="Arial"/>
        <family val="2"/>
      </rPr>
      <t xml:space="preserve"> (1 packet)</t>
    </r>
  </si>
  <si>
    <t>https://www.amazon.com/Haribo-Gold-Bears-Gummi-Candy-5-Pound/dp/B000EVOSE4?th=1</t>
  </si>
  <si>
    <t>Haribo</t>
  </si>
  <si>
    <t>5lb bag</t>
  </si>
  <si>
    <t>https://www.amazon.com/Mountain-House-Granola-Blueberries-Premium/dp/B000M8070I/ref=sr_1_1?ie=UTF8&amp;qid=1493141559&amp;sr=8-1-spons&amp;keywords=mountain+house+granola+with+milk+and+blueberries&amp;th=1</t>
  </si>
  <si>
    <r>
      <t>Granola with Milk and Blueberries</t>
    </r>
    <r>
      <rPr>
        <sz val="12"/>
        <color theme="1"/>
        <rFont val="Arial"/>
        <family val="2"/>
      </rPr>
      <t xml:space="preserve"> (2 servings / 1 dry cup)</t>
    </r>
  </si>
  <si>
    <t>http://www.backpackerspantry.com/granola-with-milk-bananas.html</t>
  </si>
  <si>
    <t>https://www.amazon.com/Epic-Natural-Grass-Bison-Cranberry/dp/B00JQ47DO2/ref=sr_1_1_s_it?s=grocery&amp;ie=UTF8&amp;qid=1493078936&amp;sr=1-1&amp;keywords=epic%2Bbar&amp;th=1</t>
  </si>
  <si>
    <t>Epic</t>
  </si>
  <si>
    <t>Pack of 12</t>
  </si>
  <si>
    <t>Epic Bar - Lamb Currant Mint</t>
  </si>
  <si>
    <t>https://www.amazon.com/Epic-Natural-Grass-Bison-Cranberry/dp/B00ET7LPK4/ref=sr_1_1_s_it?s=grocery&amp;ie=UTF8&amp;qid=1493078936&amp;sr=1-1&amp;keywords=epic%2Bbar&amp;th=1</t>
  </si>
  <si>
    <t>Epic Bar - Bison Bacon Cranberry</t>
  </si>
  <si>
    <t>http://www.backpackerspantry.com/cuban-coconut-black-beans-rice.html</t>
  </si>
  <si>
    <r>
      <t>Cuban Coconut Black Beans &amp; Rice</t>
    </r>
    <r>
      <rPr>
        <sz val="12"/>
        <color theme="1"/>
        <rFont val="Arial"/>
        <family val="2"/>
      </rPr>
      <t xml:space="preserve"> (2 servings / entire pouch)</t>
    </r>
  </si>
  <si>
    <t>http://www.backpackerspantry.com/creme-brulee.html</t>
  </si>
  <si>
    <r>
      <t>Creme Brulee</t>
    </r>
    <r>
      <rPr>
        <sz val="12"/>
        <color theme="1"/>
        <rFont val="Arial"/>
        <family val="2"/>
      </rPr>
      <t xml:space="preserve"> (2 servings / entire pouch)</t>
    </r>
  </si>
  <si>
    <t>http://www.thrivelife.com/coconut-bites-snackies-pouch-3636.html</t>
  </si>
  <si>
    <t>Coconut Bites (freeze-dried) (2.5 servings / entire pouch)</t>
  </si>
  <si>
    <t>Clif</t>
  </si>
  <si>
    <t>https://www.amazon.com/CLIF-BUILDERS-Protein-Chocolate-Ounce/dp/B000GPRZSO/ref=sr_1_1?s=grocery&amp;ie=UTF8&amp;qid=1493162226&amp;sr=1-1-spons&amp;keywords=clif+bar+chocolate+mint&amp;th=1</t>
  </si>
  <si>
    <t>Chili Mac w/ Beef (2.5 servings / 2.5 cups dry)</t>
  </si>
  <si>
    <t>https://www.amazon.com/gp/product/B01MTVCFBP/ref=ox_sc_act_title_18?ie=UTF8&amp;smid=ATVPDKIKX0DER&amp;th=1</t>
  </si>
  <si>
    <t>6-Pack</t>
  </si>
  <si>
    <r>
      <t>Chicken Fried Rice w/ Vegetables (2</t>
    </r>
    <r>
      <rPr>
        <sz val="12"/>
        <color theme="1"/>
        <rFont val="Arial"/>
        <family val="2"/>
      </rPr>
      <t xml:space="preserve"> servings / 1 pouch)</t>
    </r>
  </si>
  <si>
    <t>Does not come in cans</t>
  </si>
  <si>
    <r>
      <t>Chicken Breast and Mashed Potatoes</t>
    </r>
    <r>
      <rPr>
        <sz val="12"/>
        <color theme="1"/>
        <rFont val="Arial"/>
        <family val="2"/>
      </rPr>
      <t xml:space="preserve"> (2 servings / Entire Pouch)</t>
    </r>
  </si>
  <si>
    <r>
      <t>Does not come in cans</t>
    </r>
    <r>
      <rPr>
        <sz val="12"/>
        <color theme="1"/>
        <rFont val="Arial"/>
        <family val="2"/>
      </rPr>
      <t>. Cheaper on Amazon</t>
    </r>
  </si>
  <si>
    <r>
      <t>Chicken and Dumplings</t>
    </r>
    <r>
      <rPr>
        <sz val="12"/>
        <color theme="1"/>
        <rFont val="Arial"/>
        <family val="2"/>
      </rPr>
      <t xml:space="preserve"> (2 servings / 1 pouch)</t>
    </r>
  </si>
  <si>
    <t>https://www.amazon.com/Cheetos-Crunchy-Cheese-Flavored-Snacks/dp/B000R7TE9Y/ref=sr_1_3?s=grocery&amp;ie=UTF8&amp;qid=1493160575&amp;sr=1-3-spons&amp;keywords=cheetos&amp;th=1</t>
  </si>
  <si>
    <t>Cheetos</t>
  </si>
  <si>
    <t>http://www.thrivelife.com/cheddar-bites-snackies-pouch.html</t>
  </si>
  <si>
    <t>Cheddar bites (freeze-dried) (3.5 servings / entire pouch)</t>
  </si>
  <si>
    <t>Cashews, salted (1oz / 17pcs)</t>
  </si>
  <si>
    <r>
      <t>Biscuits and Gravy</t>
    </r>
    <r>
      <rPr>
        <sz val="12"/>
        <color theme="1"/>
        <rFont val="Arial"/>
        <family val="2"/>
      </rPr>
      <t xml:space="preserve"> (2 servings / 1 pouch)</t>
    </r>
  </si>
  <si>
    <t>https://www.amazon.com/gp/product/B000M806WW/ref=ask_ql_qh_dp_hza?th=1</t>
  </si>
  <si>
    <r>
      <t>#10 Can</t>
    </r>
    <r>
      <rPr>
        <sz val="12"/>
        <color theme="1"/>
        <rFont val="Arial"/>
        <family val="2"/>
      </rPr>
      <t>*</t>
    </r>
  </si>
  <si>
    <t>Beef Stroganoff w/ Noodles (2.5 servings / 2.5 cups dry)</t>
  </si>
  <si>
    <t>http://www.thrivelife.com/bananas-snackies-pouch-3634.html</t>
  </si>
  <si>
    <t>Banana Bites (freeze-dried) (3 servings / entire pouch)</t>
  </si>
  <si>
    <t>https://www.amazon.com/Mountain-House-53536-Apple-Crisp/dp/B01MSP32PW/ref=sr_1_1?ie=UTF8&amp;qid=1493145495&amp;sr=8-1&amp;keywords=mountain%2Bhouse%2Bapple%2Bcrisp&amp;th=1</t>
  </si>
  <si>
    <r>
      <t>Apple Crisp</t>
    </r>
    <r>
      <rPr>
        <sz val="12"/>
        <color theme="1"/>
        <rFont val="Arial"/>
        <family val="2"/>
      </rPr>
      <t xml:space="preserve"> (3 servings / Entire Pouch)</t>
    </r>
  </si>
  <si>
    <t>Nutritional Information Verified Upon Arrival</t>
  </si>
  <si>
    <t>Comments</t>
  </si>
  <si>
    <t>Link</t>
  </si>
  <si>
    <t>Supplier</t>
  </si>
  <si>
    <t>Brand</t>
  </si>
  <si>
    <t>Calories per Ounce</t>
  </si>
  <si>
    <r>
      <t>Weight (oz)</t>
    </r>
    <r>
      <rPr>
        <sz val="12"/>
        <color theme="1"/>
        <rFont val="Arial"/>
        <family val="2"/>
      </rPr>
      <t xml:space="preserve"> per serving (actual weight)</t>
    </r>
  </si>
  <si>
    <t>Sodium (mg)</t>
  </si>
  <si>
    <t>Fat (g)</t>
  </si>
  <si>
    <t>Protein (g)</t>
  </si>
  <si>
    <t>Carbohydrate (g)</t>
  </si>
  <si>
    <t>Calories</t>
  </si>
  <si>
    <t>Qty to Order</t>
  </si>
  <si>
    <t>Price per unit</t>
  </si>
  <si>
    <t>Calories per serving</t>
  </si>
  <si>
    <t>Unit Weight (oz)</t>
  </si>
  <si>
    <t>Unit (pkg, tub,etc)</t>
  </si>
  <si>
    <t>Recipe?</t>
  </si>
  <si>
    <t>Description</t>
  </si>
  <si>
    <t>Subtotal</t>
  </si>
  <si>
    <t>Z-Hummus - Spicy Southwest (freeze-dried) (2 servings / entire pouch)</t>
  </si>
  <si>
    <t>Z-Guacamole (freeze-dried) (2 servings / entire pouch)</t>
  </si>
  <si>
    <t>Z-Bean Dip - Spicy Cheddar (freeze-dried) (2 servings / entire pouch)</t>
  </si>
  <si>
    <t>Weight (oz)</t>
  </si>
  <si>
    <t>Recipes</t>
  </si>
  <si>
    <t>Info Updated for 2018</t>
  </si>
  <si>
    <t>Cost slightly higher on MH website ($7.99 ea. Vs. $7.50 ea). https://www.mountainhouse.com/M/product/apple-crisp.html?variant_id=32</t>
  </si>
  <si>
    <t>Our Serving Size</t>
  </si>
  <si>
    <t>** - To determine which package type is cheaper (pouch vs. can), take the price and divide by the weight of the unit. This will give you the price per .oz.</t>
  </si>
  <si>
    <t>*** - To determine if food has different caloric value between the different package types (want to make sure the same nutritional values), take the calories and multiply by the numnber of servings in the package, and then divide by the weight of the package. That will give you calories per ounce.</t>
  </si>
  <si>
    <t>About 10 servings per can OR 4 meals. Cheaper on Amazon
Pouch - $1.87 / oz | Can - $1.36 / oz</t>
  </si>
  <si>
    <t>Pouch - 125.51 cal/oz | Can - 135.21 cal/oz
Pouch $1.28 /oz. | Can - $1.22 /oz
Cheaper on Amazon</t>
  </si>
  <si>
    <t>https://www.amazon.com/Mountain-House-Biscuits-Gravy-Pouch/dp/B01NA960WL/ref=sr_1_2?ie=UTF8&amp;qid=1526147182&amp;sr=8-2&amp;keywords=mountain%2Bhouse%2Bbiscuits%2Band%2Bgravy&amp;dpID=51XvJ2JnPAL&amp;preST=_SY300_QL70_&amp;dpSrc=srch&amp;th=1</t>
  </si>
  <si>
    <t># Our Meals per unit</t>
  </si>
  <si>
    <t>https://www.amazon.com/dp/B01N1N1JWO/ref=twister_B01N1XGWTU?_encoding=UTF8&amp;psc=1</t>
  </si>
  <si>
    <t>Recommended Servings per UNIT</t>
  </si>
  <si>
    <t>Cheaper on Amazon. Can was available, but order 6-pack instead. 
Pouch $1.80 /oz | Can $1.71 / oz.
Pouch 122 cal/oz. |  Can 121 cal/oz</t>
  </si>
  <si>
    <t>About 10 servings per can OR 4 meals. Cheaper on Amazon
Pouch 120 cal/oz | Can 117 cal/oz
Pouch $1.56 / oz. | Can $1.23 / oz.</t>
  </si>
  <si>
    <t>https://www.amazon.com/dp/B000M7SY0Y/ref=twister_B00QKP2T7G?_encoding=UTF8&amp;th=1</t>
  </si>
  <si>
    <t>Clif Bar - Builder's Protein - Chocolate Mint (2.4 oz bar)</t>
  </si>
  <si>
    <t>Clif Bar - Builder's Protein - Crunchy Peanut Butter</t>
  </si>
  <si>
    <t>https://www.amazon.com/CLIF-BUILDERS-Protein-Crunchy-Non-GMO/dp/B0089PYRWK/ref=pd_sim_121_5?_encoding=UTF8&amp;pd_rd_i=B0089PYRWK&amp;pd_rd_r=MRZXZES8H11H4WSZ4W60&amp;pd_rd_w=z79t5&amp;pd_rd_wg=RA0uE&amp;refRID=MRZXZES8H11H4WSZ4W60&amp;th=1</t>
  </si>
  <si>
    <t>Jar</t>
  </si>
  <si>
    <t>Z-Starbucks Via Coffee Packets (1 packet)</t>
  </si>
  <si>
    <t>Does not come in cans. Not available w/ Amazon Prime, order from Backpacker's Pantry.</t>
  </si>
  <si>
    <t>Does not come in cans. Cheaper to order from Backpacker's Pantry.</t>
  </si>
  <si>
    <r>
      <t xml:space="preserve">DOES come in cans, but THE RECIPE IS DIFFERENT FROM THE POUCHES!. According to pouch nutritional information, there's an awful lot of calories. E-mailing company to verify the nutritional information. UPDATE:Nutitional information is correct according to company. </t>
    </r>
    <r>
      <rPr>
        <sz val="12"/>
        <rFont val="Arial"/>
        <family val="2"/>
      </rPr>
      <t>Cheaper at Backpacker's Pantry.</t>
    </r>
  </si>
  <si>
    <t>Can is only available on Amazon
Pouch 132 cal/oz. | Can 127 cal/oz
Pouch 1.28 / oz. | Can $0.77 / oz.</t>
  </si>
  <si>
    <t>Gummy Bears (1 serving / 17 pieces)</t>
  </si>
  <si>
    <t>Jamaican Jerk Rice W/ Chicken (2 servings / 2 Dry cups)</t>
  </si>
  <si>
    <t>Louisiana Red Beans &amp; Rice (3 servings / 3 Dry cups)</t>
  </si>
  <si>
    <t>2lb 10oz Bag</t>
  </si>
  <si>
    <t>Mashed Potatoes W/ Gravy &amp; Beef (3 servings / 3 Dry cups)</t>
  </si>
  <si>
    <t>https://www.amazon.com/Backpackers-Pantry-Serving-Pouch-Packaging/dp/B001GUT4S2/ref=sr_1_1?ie=UTF8&amp;qid=1526160618&amp;sr=8-1&amp;keywords=backpacker%27s+pantry+pad+thai&amp;dpID=51mHskSvK9L&amp;preST=_SY300_QL70_&amp;dpSrc=srch</t>
  </si>
  <si>
    <t>https://www.amazon.com/Bobs-Red-Mill-Protein-Nutritional/dp/B019HUQXG8/ref=sr_1_2_a_it?ie=UTF8&amp;qid=1526162705&amp;sr=8-2&amp;keywords=protein%2Band%2Bfiber%2Bnutritional%2Bbooster&amp;dpID=51JZkO0N7xL&amp;preST=_SY300_QL70_&amp;dpSrc=srch&amp;th=1</t>
  </si>
  <si>
    <t>Pouch - 153 cal/oz | Can 147 cal/oz
Pouch $2.69 / oz. | Can $1.36 / oz.</t>
  </si>
  <si>
    <t>Pouch - 149 cal/oz. | Can 146 cal/oz.
Pouch $2.10 / oz. | Can $1.38/ oz.</t>
  </si>
  <si>
    <t>Snickers Bars (1bar / 52.7g)</t>
  </si>
  <si>
    <t>Bar</t>
  </si>
  <si>
    <t>If need close to 24 then order from Amazon: https://www.amazon.com/SNICKERS-Sharing-Chocolate-3-29-Ounce-24-Count/dp/B0029JHH4W/ref=sr_1_1_a_it?ie=UTF8&amp;qid=1493771420&amp;sr=8-1&amp;keywords=SNICKERS%2BSharing%2BSize%2BChocolate%2BCandy%2BBars%2B3.29-Ounce%2BBar%2B24-Count%2BBox&amp;th=1</t>
  </si>
  <si>
    <t>Does not come in cans. More expensive on amazon. $12.99 on Amazon</t>
  </si>
  <si>
    <t>Cheaper on Amazon. $49 on BP site</t>
  </si>
  <si>
    <t>$32.39 on Amazon</t>
  </si>
  <si>
    <t>http://www.backpackerspantry.com/10-can-beans-and-rice.html</t>
  </si>
  <si>
    <t>$40.00 on BP site</t>
  </si>
  <si>
    <t>Does not come in cans. 17% cheaper on Amazon, however if Backpacker Pantry is having their 25% off sale, then order from them. $9.00 on BP site</t>
  </si>
  <si>
    <t>Does not come in cans. Amazon charges shipping for item</t>
  </si>
  <si>
    <t>Cheapest to order from Alpine Aire, but have to see how much for shipping. Amazon charges $8.62, REI  $5.00 w/ free shipping over $50 and save 10% when order 8 or more backpacking foods</t>
  </si>
  <si>
    <t>Cheapest to order from Alpine Aire, but have to see how much for shipping. Amazon charges $11.03, REI $9.00  free shipping over $50 and save 10% when order 8 or more backpacking foods</t>
  </si>
  <si>
    <t>Cheapest to order from Alpine Aire, but have to see how much for shipping. Amazon charges $8.58, REI $5.00 free shipping over $50 and save 10% when order 8 or more backpacking foods</t>
  </si>
  <si>
    <t>Trail Mix - GORP (2 servings / 6 Tbsp)</t>
  </si>
  <si>
    <t>Nut Harvest</t>
  </si>
  <si>
    <t>https://www.amazon.com/Nut-Harvest-Chocolate-Mix-Jar/dp/B071KF6791/ref=sr_1_2_sspa?s=grocery&amp;rps=1&amp;ie=UTF8&amp;qid=1526166928&amp;sr=1-2-spons&amp;keywords=trail%2Bmix&amp;refinements=p_85%3A2470955011&amp;th=1</t>
  </si>
  <si>
    <t>Toffee Break / Trail Mix w/ nuts, toffee, peanut butter, chocolate, and caramel (1.5 servings / 1/2 pouch)</t>
  </si>
  <si>
    <t>https://www.alpineaire.com/us/us/25272-30105-Toffee+Break</t>
  </si>
  <si>
    <t>$9.40 on Amazon</t>
  </si>
  <si>
    <t>Monkey Mix / Dried bananas and dark chocolate covered bananas (1 serving / 1/2 pouch)</t>
  </si>
  <si>
    <t>https://www.alpineaire.com/us/us/25273-30107-Monkey+Mix</t>
  </si>
  <si>
    <t>$7.36 on Amazon</t>
  </si>
  <si>
    <t>Pepper Beef w/ Rice (2 servings / entire pouch)</t>
  </si>
  <si>
    <t>https://www.alpineaire.com/us/us/377-60402-pepper-beef-with-rice</t>
  </si>
  <si>
    <t>Not Available on Amazon</t>
  </si>
  <si>
    <t>Chicken Gumbo (2 servings / entire pouch)</t>
  </si>
  <si>
    <t>https://www.alpineaire.com/us/us/444-60309-chicken-gumbo</t>
  </si>
  <si>
    <t>$7.43 on Amazon (prime)</t>
  </si>
  <si>
    <t>Honey Lime Chicken (2 servings / entire pouch)</t>
  </si>
  <si>
    <t>https://www.alpineaire.com/us/us/449-60422-honey-lime-chicken</t>
  </si>
  <si>
    <t>$9.50 on Amazon (prime)</t>
  </si>
  <si>
    <t>Black Bart Chili w/ Beef &amp; Beans (2 servings / entire pouch)</t>
  </si>
  <si>
    <t>Recommended Serving Size (usually in cups or ounces)</t>
  </si>
  <si>
    <t>https://www.alpineaire.com/us/us/451-60407-black-bart-chili-with-beef-beans</t>
  </si>
  <si>
    <t>$8.32 on Amazon (prime)</t>
  </si>
  <si>
    <t>Wild Quinoa Pilaf w/ Hemp Crispies</t>
  </si>
  <si>
    <t>https://www.alpineaire.com/us/us/10197-60449-wild-quinoa-pilaf-with-hemp-crispies</t>
  </si>
  <si>
    <t>$8.07 on Amazon (NOT prime)</t>
  </si>
  <si>
    <t>Himalayan Lentils and Rice (2 servings / entire pouch)</t>
  </si>
  <si>
    <t>https://www.alpineaire.com/us/us/369-60443-himalayan-lentils-rice</t>
  </si>
  <si>
    <t>$9.06 on Amazon (add-on item)</t>
  </si>
  <si>
    <t>7 Dessert</t>
  </si>
  <si>
    <t>Red's Meadow Resort</t>
  </si>
  <si>
    <t>6 Recovery</t>
  </si>
  <si>
    <t>5 Dinner</t>
  </si>
  <si>
    <t>4 Afternoon Snack</t>
  </si>
  <si>
    <t>3 Lunch</t>
  </si>
  <si>
    <t>2 Morning Snack</t>
  </si>
  <si>
    <t>1 Breakfast</t>
  </si>
  <si>
    <t>Carry</t>
  </si>
  <si>
    <t>Calories / oz.</t>
  </si>
  <si>
    <t>Item</t>
  </si>
  <si>
    <t>Carry or Ship to</t>
  </si>
  <si>
    <t>Day on Trail</t>
  </si>
  <si>
    <t>Zero Day</t>
  </si>
  <si>
    <t>Green</t>
  </si>
  <si>
    <t>Upper End Protein Needs per Day
Joe 190lbs * .9 = 171 grams/day of protein</t>
  </si>
  <si>
    <t>Lower End Protein Needs per Day
Joe 190lbs * .45grams = 86 grams/day of protein</t>
  </si>
  <si>
    <t>Push or Uphill Day</t>
  </si>
  <si>
    <t>RED</t>
  </si>
  <si>
    <t>Upper End Protein Needs per Day
Lisa 150lbs * .9 = 135 grams/day of protein</t>
  </si>
  <si>
    <t>Lower End Protein Needs per Day
Lisa 150lbs * .45grams = 68 grams/day of protein</t>
  </si>
  <si>
    <t>Calorie Needs for Strenuous Activity
Joe = BMR 1864 * 1.9 = 3542 cal/day</t>
  </si>
  <si>
    <t>Calorie Needs w/ Strenuous Activity
Lisa = BMR 1406 * 1.9 = 2671</t>
  </si>
  <si>
    <t>Apple Crisp (3 servings / Entire Pouch)</t>
  </si>
  <si>
    <t>Peanut Butter (1.5 servings / 3 Tbsp)</t>
  </si>
  <si>
    <t>Granola w/ Bananas &amp; Milk (1 serving / 1/2 pouch)</t>
  </si>
  <si>
    <t>Pop Tarts (2 pastries) - S'Mores</t>
  </si>
  <si>
    <t>Hot Cocoa - Marshmallow Lovers (1 packet)</t>
  </si>
  <si>
    <t>M&amp;M’S Milk Chocolate (1 servings / 1.5oz / 1/4cup)</t>
  </si>
  <si>
    <t>Creme Brulee (2 servings / entire pouch)</t>
  </si>
  <si>
    <t>Granola with Milk and Blueberries (2 servings / 1 dry cup)</t>
  </si>
  <si>
    <t>Cuban Coconut Black Beans &amp; Rice (2 servings / entire pouch)</t>
  </si>
  <si>
    <t>Jerky - Beef - Chili Lime (2.5 servings / entire pack)</t>
  </si>
  <si>
    <t>Scrambled Eggs with Ham, Red &amp; Green Peppers (2 servings / 1.5 cups dry)</t>
  </si>
  <si>
    <t>Jerky - Pork - Black Cherry BBQ (2.5 servings / entire pack)</t>
  </si>
  <si>
    <t>Jerky - Beef - Sweet Chipotle (2.5 servings / entire pack)</t>
  </si>
  <si>
    <t>Chicken Breast and Mashed Potatoes (2 servings / Entire Pouch)</t>
  </si>
  <si>
    <t>Chicken Fried Rice w/ Vegetables (2 servings / 1 pouch)</t>
  </si>
  <si>
    <t>Spicy Thai Rice w/ Peanut Sauce (2 servings / entire pouch)</t>
  </si>
  <si>
    <t>banana Bites (freeze-dried) (3 servings / entire pouch)</t>
  </si>
  <si>
    <t>Coffee w/ Milk (RECIPE)</t>
  </si>
  <si>
    <t>Oatmeal w/ fixins (RECIPE)</t>
  </si>
  <si>
    <t>Tortilla w/ Bean &amp; Cheddar (2) (RECIPE)</t>
  </si>
  <si>
    <t>Tortilla (2) w/ Breakfast Skillet (1.5 servings / 1.5 dry cups) (RECIPE)</t>
  </si>
  <si>
    <t>Tortilla w/ Tuna &amp; Guacamole (2) (RECIPE)</t>
  </si>
  <si>
    <t>Tortilla (2) w/ Scrambled Eggs (and Ham, Red &amp; Green Peppers) (RECIPE)</t>
  </si>
  <si>
    <t>Tortilla w/ Hummus (2) (RECIPE)</t>
  </si>
  <si>
    <t>Tortilla w/ Peanut Butter (2) (RECIPE)</t>
  </si>
  <si>
    <t>Pad Thai (2 servings / entire pouch)</t>
  </si>
  <si>
    <t>Three Cheese Mac &amp; Cheese (2 servings / entire pouch)</t>
  </si>
  <si>
    <t>Chocolate S'mores (2 servings / 1 pouch)</t>
  </si>
  <si>
    <t>http://www.backpackerspantry.com/products/chocolate-s-mores.html</t>
  </si>
  <si>
    <t>On sale at time of entry on BP website. Not available on Amazon</t>
  </si>
  <si>
    <t>Lisa or Joe</t>
  </si>
  <si>
    <t>Lisa</t>
  </si>
  <si>
    <t>Joe</t>
  </si>
  <si>
    <t>Starbucks &amp; Hoosier Hill Farm</t>
  </si>
  <si>
    <t>See individual items</t>
  </si>
  <si>
    <t>? &amp; Mountain House</t>
  </si>
  <si>
    <t>Acme &amp; Mountain House</t>
  </si>
  <si>
    <t>Row Labels</t>
  </si>
  <si>
    <t>(blank)</t>
  </si>
  <si>
    <t>Count of Item</t>
  </si>
  <si>
    <t>Column Labels</t>
  </si>
  <si>
    <t>Garlic Herb Mashed Potatoes (2 servings / entire pouch)</t>
  </si>
  <si>
    <t>http://www.backpackerspantry.com/garlic-herb-mashed-potatoes.html</t>
  </si>
  <si>
    <t>Not prime in Amazon. Order from Backpacker's Pantry</t>
  </si>
  <si>
    <t>Cheetos (2 oz.)</t>
  </si>
  <si>
    <t>Too many in pkg to order from Amazon. Buy Party Sized pkg from Acme instead and split into servings</t>
  </si>
  <si>
    <t>https://www.amazon.com/SNICKERS-Sharing-Chocolate-3-29-Ounce-24-Count/dp/B0029JHH4W/ref=sr_1_1_a_it?ie=UTF8&amp;qid=1493771420&amp;sr=8-1&amp;keywords=SNICKERS%2BSharing%2BSize%2BChocolate%2BCandy%2BBars%2B3.29-Ounce%2BBar%2B24-Count%2BBox&amp;th=1</t>
  </si>
  <si>
    <t>Usually order a can, which is cheaper on Amazon (https://www.amazon.com/Mountain-House-Breakfast-Skillet-Can/dp/B003Z45XVE/ref=sr_1_1?ie=UTF8&amp;qid=1493143915&amp;sr=8-1-spons&amp;keywords=mountain+house+breakfast+skillet&amp;psc=1), however due to the qty ordering, better to just order the pouches</t>
  </si>
  <si>
    <t>Breakfast Skillet (2 servings / 1 pouch)</t>
  </si>
  <si>
    <t>https://www.amazon.com/Mountain-House-Breakfast-Skillet-6-Pack/dp/B01MQNOI9S/ref=sr_1_2?s=sporting-goods&amp;ie=UTF8&amp;qid=1526768764&amp;sr=1-2&amp;keywords=mountain%2Bhouse%2Bbreakfast%2Bskillet&amp;dpID=51zWqEGBSWL&amp;preST=_SX300_QL70_&amp;dpSrc=srch&amp;th=1&amp;psc=1</t>
  </si>
  <si>
    <t>This Table Lists the # of meals chosen by us, not the number of items to be ordered</t>
  </si>
  <si>
    <t>JMT 2018 Chosen Meal Listing</t>
  </si>
  <si>
    <t>https://www.amazon.com/Mountain-House-Chicken-Potatoes-Premium/dp/B000SJNI6G/ref=sr_1_1?ie=UTF8&amp;qid=1493144583&amp;sr=8-1-spons&amp;keywords=mountain%2Bhouse%2Bchicken%2Bbreast&amp;th=1</t>
  </si>
  <si>
    <t>Only order from Amazon if have enough selected</t>
  </si>
  <si>
    <t>Grand Total</t>
  </si>
  <si>
    <t>Ordered</t>
  </si>
  <si>
    <t>Received</t>
  </si>
  <si>
    <t>Cost Each</t>
  </si>
  <si>
    <t>Total</t>
  </si>
  <si>
    <t>Acme Total</t>
  </si>
  <si>
    <t>Alpine Aire Total</t>
  </si>
  <si>
    <t>Amazon Total</t>
  </si>
  <si>
    <t>Backpacker's Pantry Total</t>
  </si>
  <si>
    <t>Thrive Life Total</t>
  </si>
  <si>
    <t>Discounts</t>
  </si>
  <si>
    <t>Additional Costs</t>
  </si>
  <si>
    <t>Memorial Day Sale 15% off</t>
  </si>
  <si>
    <t>Shipping</t>
  </si>
  <si>
    <t>5/19/18 
Order#: 6024696</t>
  </si>
  <si>
    <t>Total Food Costs:</t>
  </si>
  <si>
    <t>5/19/18
Order Number: 114-4967054-1443409</t>
  </si>
  <si>
    <t>5/19/18 
Order#: 54060</t>
  </si>
  <si>
    <t>5/19/18 
Order #: 1PLKWT7PB</t>
  </si>
  <si>
    <t>Category</t>
  </si>
  <si>
    <t>Qty</t>
  </si>
  <si>
    <t>Price</t>
  </si>
  <si>
    <t>Taxes - Fees</t>
  </si>
  <si>
    <t>Food</t>
  </si>
  <si>
    <t>Supplies</t>
  </si>
  <si>
    <t>Bagies - Sandwich</t>
  </si>
  <si>
    <t>Logistics</t>
  </si>
  <si>
    <t>Hotel, Transportation, etc.</t>
  </si>
  <si>
    <t>Resupply</t>
  </si>
  <si>
    <t>Fees for Resupplies</t>
  </si>
  <si>
    <t>Gear</t>
  </si>
  <si>
    <t>Clothing</t>
  </si>
  <si>
    <t>Diamox</t>
  </si>
  <si>
    <t>5 Gallon Buckets for Ressuplies</t>
  </si>
  <si>
    <t>5 Gallon Bucket Lids for Resupplies</t>
  </si>
  <si>
    <t>Personal Care &amp; First Aid</t>
  </si>
  <si>
    <t>Blister bandages, Advil, toothpaste, hand sanitizer, deodorant</t>
  </si>
  <si>
    <t>AAA Batteries - 12pk</t>
  </si>
  <si>
    <t>Services</t>
  </si>
  <si>
    <t>SPOT Activation</t>
  </si>
  <si>
    <t>GEOS SAR Membership</t>
  </si>
  <si>
    <t>Antibiotic Ointment &amp; Pills</t>
  </si>
  <si>
    <t>Food Order - Amazon</t>
  </si>
  <si>
    <t>Food Order - Backpacker's Pantry</t>
  </si>
  <si>
    <t>Food Order - Thrive Life</t>
  </si>
  <si>
    <t>Jacks R Better - Backpack Cover for Joe</t>
  </si>
  <si>
    <t>Outdoor Research Helium II Rain Jacket - Women's</t>
  </si>
  <si>
    <t>Salomon Quest Prime GTX Hiking Boots - Women's</t>
  </si>
  <si>
    <t>Bearikade (custom)</t>
  </si>
  <si>
    <t>Food Order - Alpine Aire (Katadyn)</t>
  </si>
  <si>
    <t xml:space="preserve">REI Co-op Sahara Convertible Pants - Women's </t>
  </si>
  <si>
    <t xml:space="preserve">KEEN Durand Mid WP Hiking Boots - Men's </t>
  </si>
  <si>
    <t>Sunglasses *cost estimated</t>
  </si>
  <si>
    <t>Oxy-Sorb 100-Pack Oxygen Absorber, 100cc</t>
  </si>
  <si>
    <t>LOKSAK Opsak Barrier Bag 9 x 10 pk. of 2</t>
  </si>
  <si>
    <t>Multi-Purpose Wipes by Wysi Wipe, 100 Pack</t>
  </si>
  <si>
    <t>Noto Ginseng</t>
  </si>
  <si>
    <t xml:space="preserve">LOKSAK Drybag for iPhone 4 x 7 Inch, 2-Pack </t>
  </si>
  <si>
    <t>Lip Balm / Sunscreen</t>
  </si>
  <si>
    <t>REI</t>
  </si>
  <si>
    <t>REI Total</t>
  </si>
  <si>
    <t>GU Energy Gel - Salted Caramel</t>
  </si>
  <si>
    <t>TheTentLab The Deuce of Spades Backcountry Potty Trowel</t>
  </si>
  <si>
    <t>Dr. Bronner's Organic Liquid Soap</t>
  </si>
  <si>
    <t>Bear Valley Pemmican Bar - Coconut Almond</t>
  </si>
  <si>
    <t>Sea to Summit Ultra-Sil Compression Dry Sack (M)</t>
  </si>
  <si>
    <t>Platypus Platy Water Bottle - 70 fl. oz. (2L)</t>
  </si>
  <si>
    <t>UCO Survival Matches</t>
  </si>
  <si>
    <t>Bear Valley Pemmican Bar - Fruit &amp; Nut</t>
  </si>
  <si>
    <t>Sea to Summit Ultra-Sil Dry Sack (2L)</t>
  </si>
  <si>
    <t>Survival</t>
  </si>
  <si>
    <t>SOL Fire Lite Kit</t>
  </si>
  <si>
    <t>Sea to Summit Folding Bucket - 10 Liters</t>
  </si>
  <si>
    <t>Sea to Summit X-Mug</t>
  </si>
  <si>
    <t>Member Dividend</t>
  </si>
  <si>
    <t>Misc</t>
  </si>
  <si>
    <t>Total Costs:</t>
  </si>
  <si>
    <t>Black Diamond Classic Trekking Pole Tip Protectors</t>
  </si>
  <si>
    <t>Therm-A-Rest Z Seat SOL Cushion</t>
  </si>
  <si>
    <t>Labels - Avery Removable Print or Write Color Coding Labels, 1 x 3 Inches, 200 Labels</t>
  </si>
  <si>
    <t>AAA Batteries - 8pk (Spares)</t>
  </si>
  <si>
    <t>United Parcel Service (UPS) is Preferred, but can use Fed-X or U.S. Mail.</t>
  </si>
  <si>
    <t>Fuel is sold here. Your name and Estimated Arrival Date must be clearly visible on 4 sides of your package. You may use either a box, or a bucket to send your package, as long as it doesn't exceed 25 pounds.
This address IS correct; however, the UPS or Fed-X system will say that it is not. Please have the UPS clerk override the system with this address. It WILL get delivered at this address.</t>
  </si>
  <si>
    <t>5 Gallon Bucket or USPS priority mail box</t>
  </si>
  <si>
    <t>Date to send payment and form to Red's Meadow</t>
  </si>
  <si>
    <t>2 Weeks Prior to Pickup (send resupply form 3 weeks ahead)</t>
  </si>
  <si>
    <t>Reference</t>
  </si>
  <si>
    <t>Elizabeth Wenk's John Muir Trail Data Book (Kindle edition)</t>
  </si>
  <si>
    <t>Abreva</t>
  </si>
  <si>
    <t>Saline Nasal Spray Twin Pack, 6 Ounce</t>
  </si>
  <si>
    <t>Coleman Deet-free Oil of Lemon Eucalyptus, Naturally-based Insect Repellent, Spray Pump 4 fl oz</t>
  </si>
  <si>
    <t>Purell Instant Hand Sanitizer, 2 Ounce (Pack of 6)</t>
  </si>
  <si>
    <t>Aquaphor Baby Advanced Therapy Healing Ointment Skin Protectant 2-.35 Ounce Tubes</t>
  </si>
  <si>
    <t>Arm &amp; Hammer Advance White Extreme Whitening Toothpaste .9 Oz Travel Size (Pack of 8)</t>
  </si>
  <si>
    <t>Zantac 150, Maximum Strength, Cool Mint Tablets, 24 Count</t>
  </si>
  <si>
    <t>Gold Bond Ultimate Healing Skin Therapy Lotion Aloe 1 Oz (4 Pack)</t>
  </si>
  <si>
    <t>Ger</t>
  </si>
  <si>
    <t>Black Diamond Alpine Ergo Cork Trekking Poles</t>
  </si>
  <si>
    <t>KUHL Renegade Convertible Pants - Men's</t>
  </si>
  <si>
    <t>Honey Stinger Organic Waffle, Honey, 1.06 Ounce, 16 Count</t>
  </si>
  <si>
    <t>Joshua Tree Mini Organic Hiker's Salve</t>
  </si>
  <si>
    <t>Need 4 more!</t>
  </si>
  <si>
    <t>Bob's Red Mill Chocolate Protein Powder Nutritional Booster w/ Chia &amp; Probiotics</t>
  </si>
  <si>
    <t>S.O.L. Survive Outdoors Longer 90 Percent Heat Reflective Emergency Blanket</t>
  </si>
  <si>
    <t>Justin's Classic Peanut Butter Squeeze Packs</t>
  </si>
  <si>
    <t>Justin's Honey Almond Butter Squeeze Packs</t>
  </si>
  <si>
    <t>Justin's Honey Peanut Butter Squeeze Packs</t>
  </si>
  <si>
    <t>Granola w/ Bananas, Almonds, &amp; Milk</t>
  </si>
  <si>
    <t>Remove oxygen absorber packet</t>
  </si>
  <si>
    <t>Stir thoroughly and serve</t>
  </si>
  <si>
    <t>Add 1 cup of cold or hot water</t>
  </si>
  <si>
    <t>Add 2/3 cup of cold water</t>
  </si>
  <si>
    <t xml:space="preserve">Tortilla (2) w/ Breakfast Skillet (1.5 servings / 1.5 dry cups) </t>
  </si>
  <si>
    <t>Add 1/2 cup boiling water</t>
  </si>
  <si>
    <t>Stir thoroughly. Close and cook for 4 minutes</t>
  </si>
  <si>
    <t>Stir and cook for 8-9 minutes</t>
  </si>
  <si>
    <t>Fluff with fork and serve</t>
  </si>
  <si>
    <t>Remove oxygen absorber packet and potato pouch</t>
  </si>
  <si>
    <t>Add 1 1/2 cup boiling water to meat, let stand 2-3 mins</t>
  </si>
  <si>
    <t>Remove meat, add potatoes into water. Stir and cook 2 mins</t>
  </si>
  <si>
    <t>Stir and serve w/ meat</t>
  </si>
  <si>
    <t>Add 1 1/2 cup boiling water</t>
  </si>
  <si>
    <t>Stir and cook for 4 mins</t>
  </si>
  <si>
    <t>Add 2 1/2 cups boiling water</t>
  </si>
  <si>
    <t>Stir. Cook for 10-12 minutes</t>
  </si>
  <si>
    <t>Add 2 2/5 cups boiling water</t>
  </si>
  <si>
    <t>Remove Oil Packet and add to pouch</t>
  </si>
  <si>
    <t xml:space="preserve">Stir and cook for 15-20 mins. </t>
  </si>
  <si>
    <t>Stir. Cook for 5-10 minutes</t>
  </si>
  <si>
    <t>Remove oxygen absorber packet, peanut, &amp; peanut butter packets</t>
  </si>
  <si>
    <t>Add peanut butter to pouch</t>
  </si>
  <si>
    <t>Stir. Sprinkle peanuts and serve</t>
  </si>
  <si>
    <t>Add 4 cups boiling water*</t>
  </si>
  <si>
    <t>Stir. Cook for 13 minutes</t>
  </si>
  <si>
    <t>Depart EWR 10:30AM UA1878 Arrive SFO 1:37PM</t>
  </si>
  <si>
    <t>Easter Sierra Transit Authority (ESTA) via 
395-Lone Pine Express</t>
  </si>
  <si>
    <t>Baggies - Ziploc Freezer Bags, Quart (38 count, Acme)</t>
  </si>
  <si>
    <t>Baggies - Ziploc Freezer Bags, Gallon (28 count, Acme)</t>
  </si>
  <si>
    <t>Baggies - Ziploc Freezer Bags Gallon, 60.0 Count, Amazon</t>
  </si>
  <si>
    <t>Baggies - Ziploc Freezer Bags Value Pack, Quart Size, 38 ct, Amazon</t>
  </si>
  <si>
    <t>Labels - Avery Durable ID Labels Water and Tear Resistant, 2 x 2 5/8 inches, 120 labels</t>
  </si>
  <si>
    <t>Markers - Highlighters</t>
  </si>
  <si>
    <t>Black Bart Chili with Beef &amp; Beans</t>
  </si>
  <si>
    <t>Dinner = Orange</t>
  </si>
  <si>
    <t>Breakfast = Yellow</t>
  </si>
  <si>
    <t>Lunch = Green</t>
  </si>
  <si>
    <t>Snacks = Blue</t>
  </si>
  <si>
    <t>Himalayan Lentils and Rice</t>
  </si>
  <si>
    <t>Add 1 3/4 cups boiling water</t>
  </si>
  <si>
    <t>Stir. Cook for 12-15 minutes</t>
  </si>
  <si>
    <t>Pepper Beef w/ Rice</t>
  </si>
  <si>
    <t>Stir and cook for 15 minutes</t>
  </si>
  <si>
    <t>https://smile.amazon.com/Swiss-Miss-Marshmallow-Lovers-7-44oz/dp/B00E9N9RGM/ref=sr_1_4_s_it?s=grocery&amp;ie=UTF8&amp;qid=1529532053&amp;sr=1-4&amp;keywords=hot+cocoa+marshmallow+lovers&amp;dpID=51okqNF85rL&amp;preST=_SY300_QL70_&amp;dpSrc=srch</t>
  </si>
  <si>
    <t>6/20/2018
Order #: 114-7161460-0980212</t>
  </si>
  <si>
    <t>Pack of 3 boxes</t>
  </si>
  <si>
    <t>Apple Crisp</t>
  </si>
  <si>
    <t>Remove oxygen absorber packet and granola</t>
  </si>
  <si>
    <t>Add 1 cup of boiling water</t>
  </si>
  <si>
    <t>Stir. Cook for 5-6 minutes</t>
  </si>
  <si>
    <t>Stir. Sprinkle granola and serve</t>
  </si>
  <si>
    <t>Creme Brulee</t>
  </si>
  <si>
    <t>Remove oxygen absorber and sugar topping packets</t>
  </si>
  <si>
    <t>Add 3/4 cup COLD water</t>
  </si>
  <si>
    <t>Beat briskly for 2 minutes, then let sit for 10 minutes</t>
  </si>
  <si>
    <t>Sprinkle brulee sugar topping and let dissolve on top. Serve</t>
  </si>
  <si>
    <t xml:space="preserve">Chocolate S'mores </t>
  </si>
  <si>
    <t>Remove oxygen absorber and graham cracker crumb packets</t>
  </si>
  <si>
    <t>Add 2/3 cups of COLD water</t>
  </si>
  <si>
    <t>Sprinkle graham cracker crumb topping. Serve</t>
  </si>
  <si>
    <t>Depart SFO 10:35pm UA 726 / Arrive EWR 7/29 6:50am</t>
  </si>
  <si>
    <t>#N/A</t>
  </si>
  <si>
    <t>Parchment Paper</t>
  </si>
  <si>
    <t>Food Order - Misc Items from Acme</t>
  </si>
  <si>
    <t>Too many in pkg to order from Amazon. Buy Party Sized pkg from Acme instead and split into servings. Acme did not have the party size so bought 2 8.5oz bags from Acme. See 'Food Order' tab for price. Each bag was 4 spit into 4 servings.</t>
  </si>
  <si>
    <t>Dessert = Pink/Red</t>
  </si>
  <si>
    <t>$40 due 2 weeks BEFORE mailing (see their form)
Form mailed 6/27/18 (regular mail)
Payment processed: 7/1/18</t>
  </si>
  <si>
    <t>Total Days:</t>
  </si>
  <si>
    <t>Baggies - Ziploc Storage Bags, Gallon (38 count, Acme)</t>
  </si>
  <si>
    <t>Justin's</t>
  </si>
  <si>
    <t>Classic Peanut Butter Squeeze Packs, Pack of 10 (1.15oz each)</t>
  </si>
  <si>
    <t>Pack of 10</t>
  </si>
  <si>
    <t>6/8/18
Order# 114-1155260-3399432</t>
  </si>
  <si>
    <t>Honey Peanut Butter Squeeze Packs, Pack of 10 (1.15oz each)</t>
  </si>
  <si>
    <t>Honey Almond Butter Squeeze Packs, Pack of 10 (1.15oz each)</t>
  </si>
  <si>
    <t>6/20/18
ORDER # 114-7161460-0980212</t>
  </si>
  <si>
    <t xml:space="preserve">
Chocolate Hazelnut Butter Squeeze Packs, Pack of 10 (1.15oz each)</t>
  </si>
  <si>
    <t>Ended up ordering a bunch of Justin's packets. It was going to be too difficult to make packets of PB myself. See 'Food Order' sheet for info</t>
  </si>
  <si>
    <t>https://www.amazon.com/gp/product/B00E1XPY3A/ref=od_aui_detailpages00?ie=UTF8&amp;psc=1</t>
  </si>
  <si>
    <t>https://www.amazon.com/gp/product/B00E1XPYB2/ref=od_aui_detailpages00?ie=UTF8&amp;psc=1</t>
  </si>
  <si>
    <t>https://www.amazon.com/gp/product/B00II0XHZO/ref=od_aui_detailpages00?ie=UTF8&amp;psc=1</t>
  </si>
  <si>
    <t>https://www.amazon.com/gp/product/B001HTIALE/ref=oh_aui_search_detailpage?ie=UTF8&amp;psc=1</t>
  </si>
  <si>
    <t>Travel Bidet</t>
  </si>
  <si>
    <r>
      <rPr>
        <b/>
        <sz val="12"/>
        <color rgb="FFFF0000"/>
        <rFont val="Arial"/>
        <family val="2"/>
      </rPr>
      <t>Anticipated arrival to be 1 day before our itinerary has us scheduled to arrive. This is to add a buffer in the event we arrive early.</t>
    </r>
    <r>
      <rPr>
        <sz val="12"/>
        <rFont val="Arial"/>
        <family val="2"/>
      </rPr>
      <t xml:space="preserve"> 
Packages may be picked up 8 AM to 5 PM, 7 days aweek, holidays included. Fuel is sold here.</t>
    </r>
    <r>
      <rPr>
        <b/>
        <sz val="12"/>
        <rFont val="Arial"/>
        <family val="2"/>
      </rPr>
      <t>The ranch picks up your bucket from Florence Lake only a couple days before your arrival date. If you are going to be early, chances are your bucket will not be at MTR yet.</t>
    </r>
    <r>
      <rPr>
        <sz val="12"/>
        <rFont val="Arial"/>
        <family val="2"/>
      </rPr>
      <t xml:space="preserve">
</t>
    </r>
    <r>
      <rPr>
        <b/>
        <sz val="12"/>
        <rFont val="Arial"/>
        <family val="2"/>
      </rPr>
      <t>DO NOT put the address label on the side; ONLY THE TOP</t>
    </r>
    <r>
      <rPr>
        <sz val="12"/>
        <rFont val="Arial"/>
        <family val="2"/>
      </rPr>
      <t xml:space="preserve">. It could be returned by the post office if on the side and the postage is also on the side where it could be knocked off in handling. It’s safe on the top. Tape the lid and handle down, too. </t>
    </r>
    <r>
      <rPr>
        <b/>
        <sz val="12"/>
        <rFont val="Arial"/>
        <family val="2"/>
      </rPr>
      <t>YOU MUST HAVE YOUR EXPECTED PICKUP DATE AND NAME ON YOUR BUCKET!</t>
    </r>
    <r>
      <rPr>
        <sz val="12"/>
        <rFont val="Arial"/>
        <family val="2"/>
      </rPr>
      <t xml:space="preserve"> MTR holds buckets for only two weeks (14 days) past expected pickup date.</t>
    </r>
  </si>
  <si>
    <t>Vermilion Valley Resort
c/o Rancheria Garage
62311 Huntington Lake Road
Lakeshore, Ca. 93634
[Your Name]
ETA: 8/4/18
(should appear on all sides of bucket/package)</t>
  </si>
  <si>
    <t>Step</t>
  </si>
  <si>
    <t>Instruction</t>
  </si>
  <si>
    <t>Weight saved if cut out some desserts</t>
  </si>
  <si>
    <t>Tracking 1</t>
  </si>
  <si>
    <t>Tracking 2</t>
  </si>
  <si>
    <t>1Z37X3F20318150454</t>
  </si>
  <si>
    <t>1Z37X3F20318149742</t>
  </si>
  <si>
    <t>9505516326028194116288</t>
  </si>
  <si>
    <t>9505516326028194116295</t>
  </si>
  <si>
    <t>9505516326028186115497</t>
  </si>
  <si>
    <t>Sunday 7/15/2018</t>
  </si>
  <si>
    <t>Newark Liberty International Airport Marriott</t>
  </si>
  <si>
    <t>1 Hotel Road Newark New Jersey 07114 USA</t>
  </si>
  <si>
    <t>1-973-623-0006</t>
  </si>
  <si>
    <t>Misc Food Items from REI</t>
  </si>
  <si>
    <t>Use this sheet to keep track of flight arrangements, rental car arragements, transportation arrangements, hotel reservations, etc.
For clarity and helping you to see what I've done, I've left this sheet populated with data from our 2018 hike.
I've entered some detailed information for certain cells as comments. Be sure that you have comment viewing turned on in Excel.</t>
  </si>
  <si>
    <t>Use this sheet to keep a list of where resupplies are being sent, when they need to be sent, whether or not they have been sent, and tracking purposes.
For clarity and helping you to see what I've done, I've left this sheet populated with data from our 2018 hike.
I've entered some detailed information for certain cells as comments. Be sure that you have comment viewing turned on in Excel.</t>
  </si>
  <si>
    <t>Use this list to keep track of toal costs for the excursion. Some of the fields will pull numbers from other sheets, while other cells contain values that are manually entered as planning went along. 
For clarity and helping you to see what I've done, I've left this sheet populated with data from our 2018 hike.
This is a comprehensive list of every single item acquired for the trip that has a cost associated to it.</t>
  </si>
  <si>
    <t>This sheet contains step-by-step instructions for cooking each meal. This was used to print labels to place on re-packaged foods. Every food item was repackaged into Ziploc Freezer bags to save space in the bear can.
For clarity and helping you to see what I've done, I've left this sheet populated with data from our 2018 hike.</t>
  </si>
  <si>
    <t xml:space="preserve">This sheet was used to keep track of food that needed to be ordered, where it was purchased from, when it was ordered, whether or not it was received, and other useful information.
For clarity and helping you to see what I've done, I've left this sheet populated with data from our 2018 hike.
Some of the fields (such as 'Unit' and the 'Cost') will pull numbers from the 'Master Food List' using vLOOKUP, while other cells contain values that are manually entered as planning went along. </t>
  </si>
  <si>
    <t>This sheet was used by each of us to choose our meal selections for the trip. 
For clarity and helping you to see what I've done, I've left this sheet populated with data from our 2018 hike.
The values in Columns D through K were pulled using a VLOOKUP on the 'Master Food List'; therefore, be sure to populate your Master Food List first before choosing using this sheet to plan your meals.
I've entered some detailed information for certain cells as comments. Be sure that you have comment viewing turned on in Excel.</t>
  </si>
  <si>
    <t>This sheet contains a summary of all food items chosen for the trip and is used to assist in keeping track and the count of food items during the repackaging and packing process.
For clarity and helping you to see what I've done, I've left this sheet populated with data from our 2018 hike.
The values in columns A through E of this sheet were copied and pasted from 'Joe Food Schedule' and 'Lisa Food Schedule' to create one comprehensive list. Then the data for the brand, supplier, and unit are pulled from the 'Master Food List' using data validation and VLOOKUP</t>
  </si>
  <si>
    <t>This sheet contains food items that are a combination of multiple food items, hence 'RECIPES'. It's used to tabulate the total nutritional value of each ingredient that make a recipe item.
The 'Master Food List' contains row items that have 'RECIPE' as part of their description. The nutitional values for those items are pulled from this list.
For clarity and helping you to see what I've done, I've left this sheet populated with data from our 2018 hike.
I've entered some detailed information for certain cells as comments. Be sure that you have comment viewing turned on in Excel.</t>
  </si>
  <si>
    <r>
      <t xml:space="preserve">This is a sample hiking itinerary. I've entered some detailed information for certain cells as comments. Be sure that you have comment viewing turned on in Excel.
For clarity and helping you to see what I've done, I've left this sheet populated with data from the original plan for our 2018 hike. We are not big-mile hikers, please don't judge. It does not include the segment from Cottonwood Pass (or Mt. Whitney) to Kearsarge Pass.
Enter your start date in cell A3, the reminainder of the dates will auto-calculate in column A. 
The alternating row colors distinguish each day, which are  numbered and will autocalculate, with the exception of when two hiking segments that fall on the same day are placed in individual rows.
</t>
    </r>
    <r>
      <rPr>
        <b/>
        <sz val="12"/>
        <color rgb="FFFF0000"/>
        <rFont val="Arial"/>
        <family val="2"/>
      </rPr>
      <t>RED</t>
    </r>
    <r>
      <rPr>
        <sz val="12"/>
        <color theme="1"/>
        <rFont val="Arial"/>
        <family val="2"/>
      </rPr>
      <t xml:space="preserve"> indicates zero days and </t>
    </r>
    <r>
      <rPr>
        <b/>
        <sz val="12"/>
        <color rgb="FF0432FF"/>
        <rFont val="Arial"/>
        <family val="2"/>
      </rPr>
      <t>BLUE</t>
    </r>
    <r>
      <rPr>
        <sz val="12"/>
        <color theme="1"/>
        <rFont val="Arial"/>
        <family val="2"/>
      </rPr>
      <t xml:space="preserve"> indicates a special note</t>
    </r>
  </si>
  <si>
    <t>Camp near same site area as last year. This means we will have to get water, because the 'pond' that was there last year may not be available.</t>
  </si>
  <si>
    <t>If we want to attempt Whitney again (which will take 7 days of hiking to go from Cottonwood Pass, traversing Whitney, an then back up JMT to Kearsarge Pass), we will need to be finished at Happy Isles by 8/16</t>
  </si>
  <si>
    <t>8PTWSJ
(eticket:5196365732610)
74B55J</t>
  </si>
  <si>
    <t>Travel Center booking number:
 PBORBM-330-945-4380
Car record locator:   
PBORBM3309454380</t>
  </si>
  <si>
    <t>966030BS22243</t>
  </si>
  <si>
    <t>Reservation Number: 5427843-6</t>
  </si>
  <si>
    <t>confirmation # 59560904</t>
  </si>
  <si>
    <t>02KMYK</t>
  </si>
  <si>
    <t>Food:</t>
  </si>
  <si>
    <r>
      <t xml:space="preserve">This sheet contains all of the nutritional information for each food item used for the hike. Populate this list first before putting together your food schedule or food order. 
For clarity and helping you to see what I've done, I've left this sheet populated with data from our 2018 hike.
This list is used to pull data for the 'Food Order', 'Food Summary', and the 'Food Schedules' using either data validation or vLOOKUP. 
</t>
    </r>
    <r>
      <rPr>
        <b/>
        <sz val="12"/>
        <color rgb="FFFF0000"/>
        <rFont val="Arial"/>
        <family val="2"/>
      </rPr>
      <t>This sheet is a critical component to this planning workbook as the sheets mentioned above pull information from it. Do not delete it, but simply add/remove items from it and/or change the values for the food items.</t>
    </r>
    <r>
      <rPr>
        <sz val="12"/>
        <color theme="1"/>
        <rFont val="Arial"/>
        <family val="2"/>
      </rPr>
      <t xml:space="preserve">
I've entered some detailed information for certain cells as comments. Be sure that you have comment viewing turned on in Excel.
Items with 'RECIPE' in their description are just that, recipes that were created in the 'RECIPE' sheet. The nutitional values in this Master Food List for RECIPE items are pulled from the 'RECIPES' sheet</t>
    </r>
  </si>
  <si>
    <t>Decided not to purchase jars of peanut butter. They exploded at high altitude last year and trying to make my own packets was a nightmare. Purchase Juston's PB packets instead!</t>
  </si>
  <si>
    <t>This sheet is simply a printer-friendly version of the 'Joe Food Schedule' sheet. 
For clarity and helping you to see what I've done, I've left this sheet populated with data from our 2018 hike.
I've entered some detailed information for certain cells as comments. Be sure that you have comment viewing turned on in Excel.</t>
  </si>
  <si>
    <t>This sheet is simply a printer-friendly version of the 'Lisa Food Schedule' sheet. 
For clarity and helping you to see what I've done, I've left this sheet populated with data from our 2018 hike.
I've entered some detailed information for certain cells as comments. Be sure that you have comment viewing turned on in Excel.</t>
  </si>
  <si>
    <t>Total Individual Item Weight</t>
  </si>
  <si>
    <t>Packed</t>
  </si>
  <si>
    <t>Cut</t>
  </si>
  <si>
    <t>Bring</t>
  </si>
  <si>
    <t>Priority</t>
  </si>
  <si>
    <t>Trail</t>
  </si>
  <si>
    <t>SubCategory</t>
  </si>
  <si>
    <t>Season</t>
  </si>
  <si>
    <t>Container / Pouch</t>
  </si>
  <si>
    <t>Pack Location</t>
  </si>
  <si>
    <t>Weight (lbs)</t>
  </si>
  <si>
    <t>Total Weight (oz)</t>
  </si>
  <si>
    <t>Backpack</t>
  </si>
  <si>
    <t>x</t>
  </si>
  <si>
    <t>Critical</t>
  </si>
  <si>
    <t>ALL</t>
  </si>
  <si>
    <t>All-Season</t>
  </si>
  <si>
    <t>Osprey Ariel 65 Backpack (empty)</t>
  </si>
  <si>
    <t>Water Shoes</t>
  </si>
  <si>
    <t>Clothing (Carry)</t>
  </si>
  <si>
    <t>Camp</t>
  </si>
  <si>
    <t>Attached to Pack</t>
  </si>
  <si>
    <t>VivoBarefoot Ultra Pure Amphibious Sneaker w/ Nite Ize S-biners to hang</t>
  </si>
  <si>
    <t>Down Jacket</t>
  </si>
  <si>
    <t>Blue Dry Sack (2L)</t>
  </si>
  <si>
    <t>Pillow Stuffsack</t>
  </si>
  <si>
    <t>Mountain Hardwear Ghost Whisperer Down Jacket</t>
  </si>
  <si>
    <t>Baselayer (top, black)</t>
  </si>
  <si>
    <t>Green Dry Sack (4L)</t>
  </si>
  <si>
    <t>Under Armour Heat Gear ArmourVent™ Long Sleeve</t>
  </si>
  <si>
    <t>Leggings (black/gray)</t>
  </si>
  <si>
    <t>Summer</t>
  </si>
  <si>
    <t>Puma Sport Lifestyle Polyester/Spandex Leggings (black/gray stripe)</t>
  </si>
  <si>
    <t>Socks (gray/lavender)</t>
  </si>
  <si>
    <t>Socks (gray/lavender Smartwool outer and synthetic liner )</t>
  </si>
  <si>
    <t>Sports Bra (pink/black)</t>
  </si>
  <si>
    <t>Sports Bra (pink/black, Champion)</t>
  </si>
  <si>
    <t>Underwear (nude)</t>
  </si>
  <si>
    <t>Exofficio GIVE-N-GO® BIKINI BRIEF (nude)</t>
  </si>
  <si>
    <t>Underwear (Thinx, beige)</t>
  </si>
  <si>
    <t>Thinx Hiphugger (beige)</t>
  </si>
  <si>
    <t>Shirt (green)</t>
  </si>
  <si>
    <t>Hike</t>
  </si>
  <si>
    <t>Orange Mesh Stuff Sack</t>
  </si>
  <si>
    <t>Main Compartment</t>
  </si>
  <si>
    <t>Under Armour Heat Gear Short Sleeve Shirt (green)</t>
  </si>
  <si>
    <t>Shorts (hiking, Beige)</t>
  </si>
  <si>
    <t>PCT / JMT</t>
  </si>
  <si>
    <t>White Sierra Hiking Shorts (beige)</t>
  </si>
  <si>
    <t>Socks (teal/green)</t>
  </si>
  <si>
    <t>Socks (teal/green Darn Tough wool outer and synthetic liner)</t>
  </si>
  <si>
    <t>Underwear (aqua)</t>
  </si>
  <si>
    <t>Exofficio GIVE-N-GO® BIKINI BRIEF (aqua)</t>
  </si>
  <si>
    <t>Windbreaker / Rainshell</t>
  </si>
  <si>
    <t>Outer</t>
  </si>
  <si>
    <t>Outdoor Research Helium II Rain Jacket</t>
  </si>
  <si>
    <t>Fleece Hat</t>
  </si>
  <si>
    <t>TrailHeads Fleece hat</t>
  </si>
  <si>
    <t>Sunglasses</t>
  </si>
  <si>
    <t>Clothing (Wear)</t>
  </si>
  <si>
    <t>Top Pouch</t>
  </si>
  <si>
    <t>Wear Over Prescription Sunglasses (and case)</t>
  </si>
  <si>
    <t>Long Sleeve Sun Shirt</t>
  </si>
  <si>
    <t>Wear</t>
  </si>
  <si>
    <t>ExOfficio SolCool Hoodie</t>
  </si>
  <si>
    <t>Pants / Shorts (slate gray)</t>
  </si>
  <si>
    <t>REI Co-op Sahara Convertible Pants</t>
  </si>
  <si>
    <t>Socks (light gray/aqua)</t>
  </si>
  <si>
    <t>Socks (light gray/aqua SmartWool outer and Fox River synthetic liner)</t>
  </si>
  <si>
    <t>Sports Bra (black)</t>
  </si>
  <si>
    <t>Sports Bra (black/gray, Champion)</t>
  </si>
  <si>
    <t>Trail Gaiters</t>
  </si>
  <si>
    <t>REI Trail Running Gaiters</t>
  </si>
  <si>
    <t>Underwear (orange)</t>
  </si>
  <si>
    <t>Exofficio GIVE-N-GO® BIKINI BRIEF (orange)</t>
  </si>
  <si>
    <t>Watch</t>
  </si>
  <si>
    <t>Suunto Core Multifunction Watch</t>
  </si>
  <si>
    <t>Gloves (sun)</t>
  </si>
  <si>
    <t>Cabela's Guidewear Men's 1/2-finger Sun Gloves</t>
  </si>
  <si>
    <t>Sun Hat</t>
  </si>
  <si>
    <t>Horizon Breeze Brimmer Hat</t>
  </si>
  <si>
    <t>iPhone</t>
  </si>
  <si>
    <t>Electronics</t>
  </si>
  <si>
    <t>Hip Belt</t>
  </si>
  <si>
    <t>iPhone 7 (in loksak)</t>
  </si>
  <si>
    <t>Batteries (AAAx4)</t>
  </si>
  <si>
    <t>Pink Dry Sack (4L)</t>
  </si>
  <si>
    <t>4 Spare AAA Batteries (for headlamp or SPOT)</t>
  </si>
  <si>
    <t>Phone Power &amp; Cord</t>
  </si>
  <si>
    <t>Loksak 1</t>
  </si>
  <si>
    <t>Anker PowerLine II Lightning Cable &amp; Anker PowerPort II 2 Ports a/c adapter (in loksak)</t>
  </si>
  <si>
    <t>Spare iPhone Battery 2</t>
  </si>
  <si>
    <t>PowerCore 10000mAh Portable Charger</t>
  </si>
  <si>
    <t>Solar Charger</t>
  </si>
  <si>
    <t>Loksak 2</t>
  </si>
  <si>
    <t>SunTactics sCharger-5 Solar Charger in Loksak</t>
  </si>
  <si>
    <t>Satellite Personal Tracker</t>
  </si>
  <si>
    <t>Spot Gen3 Satellite Personal Tracker w/ hanging carabiners (and 4-AA Batteries)</t>
  </si>
  <si>
    <t>Hiking Boots</t>
  </si>
  <si>
    <t>Equipment</t>
  </si>
  <si>
    <t>Salomon QUEST PRIME GTX Hiking Boot w/ New Balance Supportive Cushioning Insoles</t>
  </si>
  <si>
    <t>Trekking Poles</t>
  </si>
  <si>
    <t>Black Diamond Alpine Carbon Cork Trekking Poles</t>
  </si>
  <si>
    <t>Emergency Blanket</t>
  </si>
  <si>
    <t>First Aid</t>
  </si>
  <si>
    <t>Front Pocket</t>
  </si>
  <si>
    <t>S.O.L. Heat Reflective Emergency Blanket</t>
  </si>
  <si>
    <t>JMT</t>
  </si>
  <si>
    <t>Loksak 3</t>
  </si>
  <si>
    <t>Advil</t>
  </si>
  <si>
    <t>Hiker's Salve</t>
  </si>
  <si>
    <t>Joshua Tree Hiker's Salve</t>
  </si>
  <si>
    <t>Inhaler</t>
  </si>
  <si>
    <t>Albuterol Inhaler</t>
  </si>
  <si>
    <t>Water (2L)</t>
  </si>
  <si>
    <t>Food / Water / Fuel</t>
  </si>
  <si>
    <t>Water 2L</t>
  </si>
  <si>
    <t>Various Food Items</t>
  </si>
  <si>
    <t>IsoPro Fuel (8oz)</t>
  </si>
  <si>
    <t>MSR® ISOPRO™ Fuel (8oz)</t>
  </si>
  <si>
    <t>Mosquito Net</t>
  </si>
  <si>
    <t>Sea to Summit Head Net</t>
  </si>
  <si>
    <t>Backpack Rain Cover</t>
  </si>
  <si>
    <t>Jeff’s Gear Hammock/Pack Cover (in carry pouch)</t>
  </si>
  <si>
    <t>Bandana (orange print)</t>
  </si>
  <si>
    <t>Bandana (multi-purpose)</t>
  </si>
  <si>
    <t>Bandana (red)</t>
  </si>
  <si>
    <t>Bear Can Key</t>
  </si>
  <si>
    <t>3/4" Washer on Nite Ize S-Biner Slide Lock Carabiner</t>
  </si>
  <si>
    <t>Cat Hole Digger</t>
  </si>
  <si>
    <t>The Tent Lab Deuce of Spades Potty Trowel</t>
  </si>
  <si>
    <t>Food Cozy</t>
  </si>
  <si>
    <t>Homemade Food Cozy</t>
  </si>
  <si>
    <t>Bear Canister</t>
  </si>
  <si>
    <t>The Blazer Bearikade WIlderness Food Storage Canister (custom size)</t>
  </si>
  <si>
    <t>Compression Dry Sack (M, 14L)</t>
  </si>
  <si>
    <t>Sea to Summit Ultra-Sil Compression Dry Sack (M, 14L) for Sleeping Bag</t>
  </si>
  <si>
    <t>Dry Sack (2L, blue)</t>
  </si>
  <si>
    <t>Sea to Summit Ultra-Sil Dry Sack (2L, blue) for Down Jacket</t>
  </si>
  <si>
    <t>Dry Sack (4L, green)</t>
  </si>
  <si>
    <t>Sea to Summit Ultra-Sil Dry Sack (4L, green) for camp clothes</t>
  </si>
  <si>
    <t>Dry Sack (4L, pink)</t>
  </si>
  <si>
    <t>Sea to Summit Ultra-Sil Dry Sack (4L, pink) for Toiletries</t>
  </si>
  <si>
    <t>Mesh Stuff Sack (S)</t>
  </si>
  <si>
    <t>Sea to Summit Mesh Stuff Sack (S) for hiking clothing</t>
  </si>
  <si>
    <t>Odor Proof Bag</t>
  </si>
  <si>
    <t>LokSak OpSak Odor Proof Food Bag (for garbage)</t>
  </si>
  <si>
    <t>Headlamp</t>
  </si>
  <si>
    <t>Black Diamond Storm Headlamp</t>
  </si>
  <si>
    <t>Spoon</t>
  </si>
  <si>
    <t>Vargo Titanium Spork</t>
  </si>
  <si>
    <t>Personal Item (SW)</t>
  </si>
  <si>
    <t>Hygiene</t>
  </si>
  <si>
    <t>pStyle Female Urination Device (in Tyvek carry case)</t>
  </si>
  <si>
    <t>Aquaphor</t>
  </si>
  <si>
    <t>Aquaphor Healing Ointment</t>
  </si>
  <si>
    <t>Sunscreen (Face)</t>
  </si>
  <si>
    <t>La Roche-Posay Ultra Light Sunscreen Fluid SPF60</t>
  </si>
  <si>
    <t>Sunscreen (Lip)</t>
  </si>
  <si>
    <t>Banana Boat Sport Performance SPF50 Sunscreen Lip Balm</t>
  </si>
  <si>
    <t>Hair Bands</t>
  </si>
  <si>
    <t>Baggie 1 / Pink Dry Sack (4L)</t>
  </si>
  <si>
    <t>Spare Hair Bands</t>
  </si>
  <si>
    <t>Personal Item (DC)</t>
  </si>
  <si>
    <t>Diva Cup</t>
  </si>
  <si>
    <t>Toenail Clipper</t>
  </si>
  <si>
    <t>Dental Floss</t>
  </si>
  <si>
    <t>Baggie 2 / Pink Dry Sack (4L)</t>
  </si>
  <si>
    <t>Retainers</t>
  </si>
  <si>
    <t>Retainer</t>
  </si>
  <si>
    <t>Toothbrush</t>
  </si>
  <si>
    <t>Toothpaste</t>
  </si>
  <si>
    <t>Tampons</t>
  </si>
  <si>
    <t>Baggie 3 / Pink Dry Sack (4L)</t>
  </si>
  <si>
    <t>Tampons (in Baggie)</t>
  </si>
  <si>
    <t>Toilet Paper</t>
  </si>
  <si>
    <t>Baggie 5</t>
  </si>
  <si>
    <t>Toilet Paper (in baggie)</t>
  </si>
  <si>
    <t>Wipes (50)</t>
  </si>
  <si>
    <t>Baggie 5 / Loksak 6</t>
  </si>
  <si>
    <t>Wysi Wipe Multi-Purpose Wipes</t>
  </si>
  <si>
    <t>Towel</t>
  </si>
  <si>
    <t>Sea to Summit Dry Lite Micro Towel</t>
  </si>
  <si>
    <t>Brondell GoSpa Travel Bidet</t>
  </si>
  <si>
    <t>Hand Lotion</t>
  </si>
  <si>
    <t>Gold Bond Ultimate Healing Aloe Lotion</t>
  </si>
  <si>
    <t>Hand Sanitizer</t>
  </si>
  <si>
    <t>Soap</t>
  </si>
  <si>
    <t>Dr. Bronner's Magic Soap</t>
  </si>
  <si>
    <t>Pack Straps</t>
  </si>
  <si>
    <t>Sea to Summit Alloy Buckle Accessory Straps (5ft)</t>
  </si>
  <si>
    <t>Sit Pad</t>
  </si>
  <si>
    <t>Therm-a-Rest Z-Seat Pad</t>
  </si>
  <si>
    <t>Pen</t>
  </si>
  <si>
    <t>Fisher Space Pen Bullet Grip Space Pen</t>
  </si>
  <si>
    <t>Printed Information</t>
  </si>
  <si>
    <t>Loksak 7</t>
  </si>
  <si>
    <t>Various Printed Reference Materials (in loksak)</t>
  </si>
  <si>
    <t>JMT Topo Map Guide</t>
  </si>
  <si>
    <t>National Geographic John Muir Trail Topo Map Guide</t>
  </si>
  <si>
    <t>John Muir Trail Data Book (Kindle)</t>
  </si>
  <si>
    <t>Elizabeth Wenk's John Muir Trail Data Book (Kindle Edition)</t>
  </si>
  <si>
    <t>Navigation Survival Guide</t>
  </si>
  <si>
    <t>Pathfinder Outdoor Survival Guide - Basic &amp; Primitive Navigation</t>
  </si>
  <si>
    <t>Sleeping Bag</t>
  </si>
  <si>
    <t>Shelter and Sleep</t>
  </si>
  <si>
    <t>Ultra-Sil Compression Sack (14L)</t>
  </si>
  <si>
    <t>Bottom Compartment</t>
  </si>
  <si>
    <t>Western Mountaineering Versalite 6' 10-degree Bag (Sea to Summit Ultra-Sil Compression Dry Sack (M, 14L))</t>
  </si>
  <si>
    <t>Pillow</t>
  </si>
  <si>
    <t>Therm-a-Rest Stuff Sack Pillow</t>
  </si>
  <si>
    <t>Sleeping Pad</t>
  </si>
  <si>
    <t>Therm-a-Rest NeoAir XLite Sleeping Pad</t>
  </si>
  <si>
    <t>Bic Lighter</t>
  </si>
  <si>
    <t>Mess Kit</t>
  </si>
  <si>
    <t>GSI Outdoors Pinnacle Soloist Cookset</t>
  </si>
  <si>
    <t>Stove</t>
  </si>
  <si>
    <t>MSR MicroRocket Stove w/ firestarter (in felt pouch)</t>
  </si>
  <si>
    <t>Multi Tool</t>
  </si>
  <si>
    <t>Side (hanging)</t>
  </si>
  <si>
    <t>Leatherman Squirt Multitool</t>
  </si>
  <si>
    <t>Water Bottle (Nalgene)</t>
  </si>
  <si>
    <t>Side Pocket</t>
  </si>
  <si>
    <t>Nalgene Wide Mouth HDPE Bottle - 32 fl. oz. (w/ HumanGear lid)</t>
  </si>
  <si>
    <t>Water Bottle (Smart Water)</t>
  </si>
  <si>
    <t>Smart Water Bottle 1-Liter</t>
  </si>
  <si>
    <t>Water Filtration Kit</t>
  </si>
  <si>
    <t>Sawyer Water Filtration System (mini, 64oz squeeze pack, flush plunger)</t>
  </si>
  <si>
    <t>1.75mm Dyneema Cord (15')</t>
  </si>
  <si>
    <t>1.75mm Dyneema Cord (15', gray)</t>
  </si>
  <si>
    <t>Compass</t>
  </si>
  <si>
    <t>SUUNTO MC-2 G USGS MIRROR COMPASS</t>
  </si>
  <si>
    <t>Survival Knife</t>
  </si>
  <si>
    <t>Benchmade 556 Griptilian Serrated Locking Knife</t>
  </si>
  <si>
    <t>Trekking Pole Tip (spare)</t>
  </si>
  <si>
    <t>Optional</t>
  </si>
  <si>
    <t>Black Diamond Trekking Pole Tips (spare)</t>
  </si>
  <si>
    <t>Water Bottle (Platypus 1L)</t>
  </si>
  <si>
    <t>Platypus plusBottle 1-Liter Water Bottle with Push/Pull Cap</t>
  </si>
  <si>
    <t>Pack Pocket</t>
  </si>
  <si>
    <t>Equinox Ultralight Horizontal Pack Pocket</t>
  </si>
  <si>
    <t>Osprey Exos 58 (empty)</t>
  </si>
  <si>
    <t>Baselayer (top, purple)</t>
  </si>
  <si>
    <t>Base</t>
  </si>
  <si>
    <t>Winter</t>
  </si>
  <si>
    <t>Columbia Omni-Heat Reflective Long Sleeve Top</t>
  </si>
  <si>
    <t>Leggings (black/purple)</t>
  </si>
  <si>
    <t>AT</t>
  </si>
  <si>
    <t>Kyodan Polyester/Spandex Leggings</t>
  </si>
  <si>
    <t>Baselayer (bottom, black)</t>
  </si>
  <si>
    <t>Columbia Omni-Heat Reflective Tights</t>
  </si>
  <si>
    <t>Fleece Top</t>
  </si>
  <si>
    <t>Columbia Optic Got It II Half-Zip Fleece Top</t>
  </si>
  <si>
    <t>Mittens</t>
  </si>
  <si>
    <t>Wool Fingerless Mittens</t>
  </si>
  <si>
    <t>Jacket (Midlayer, gray/pink)</t>
  </si>
  <si>
    <t>Midlayer</t>
  </si>
  <si>
    <t>Under Armour Polyester Jacket</t>
  </si>
  <si>
    <t>Baseball Cap</t>
  </si>
  <si>
    <t>REI Baseball Cap</t>
  </si>
  <si>
    <t>Socks (blue)</t>
  </si>
  <si>
    <t>Socks (blue, REI wool)</t>
  </si>
  <si>
    <t>Duco Unisex Wear Over Prescription Sunglasses (and case)</t>
  </si>
  <si>
    <t>Vitamins / Supplements</t>
  </si>
  <si>
    <t>Consumables</t>
  </si>
  <si>
    <t>8 Week Supply Vitamins/Supplements</t>
  </si>
  <si>
    <t>MicroSpikes</t>
  </si>
  <si>
    <t>Snow</t>
  </si>
  <si>
    <t>Kahtoola MICROspikes® footwear traction (in carry case)</t>
  </si>
  <si>
    <t>Carry Case (crampons)</t>
  </si>
  <si>
    <t>attached to Pack</t>
  </si>
  <si>
    <t>Deuter Pouch (for crampons)</t>
  </si>
  <si>
    <t>Crampons</t>
  </si>
  <si>
    <t>Black Diamond Aluminum Crampons (in Deuter pouch)</t>
  </si>
  <si>
    <t>Survival / First Aid Kit</t>
  </si>
  <si>
    <t>Loksak 4</t>
  </si>
  <si>
    <t>In Loksak - Salt Packet, 4 Antiseptic Alcohol Pads, 6 Antibiotic Ointment, 5 - 1" x 3" Bandages, 5 - 3/8" x 1 1/2" Bandages, 2" x 3" Elastic Patch Bandage, 3" x 3" Sterile Gauze Pad, 1 - 4" Adhesive Strips, Moleskin, 2 Safety Pins, Wound Closure Tape, 2nd Skin Blister Pads (7), 7/8x1 5/8 Hyrocolloid Bandages (5), Benadryl Tabs (3), Immodium Tabs (6), Sierogan TOI A Tablets (4), Celtic Sea Salt Packet, Zantac 150 Tablets (16), Firestarter Sticks (7), Duct Tape Nuggets (2), Corn Cushions, Matches, FireLite Sparker, emergency blanket (1-person)</t>
  </si>
  <si>
    <t>Folding Water Bucket</t>
  </si>
  <si>
    <t>Sea to Summit Free-Standing Folding Water Bucket (10L)</t>
  </si>
  <si>
    <t>Dry Sack (20L) - Orange</t>
  </si>
  <si>
    <t>Sea to Summit Ultra-Sil Dry Sack (20L, orange) for Food</t>
  </si>
  <si>
    <t>Pack Liner</t>
  </si>
  <si>
    <t>Sea to Summit Ultra-Sil Pack Liner</t>
  </si>
  <si>
    <t>Sunscreen Stick</t>
  </si>
  <si>
    <t>Wild Non-Nano Zinc Stick</t>
  </si>
  <si>
    <t>Notepad</t>
  </si>
  <si>
    <t>Loksak 5</t>
  </si>
  <si>
    <t>Rite in the Rain Outdoor Journal - Small (in Loksak)</t>
  </si>
  <si>
    <t>Carabiner</t>
  </si>
  <si>
    <t>Carabiner for hanging food</t>
  </si>
  <si>
    <t>AT Guide</t>
  </si>
  <si>
    <t>Baggie 3</t>
  </si>
  <si>
    <t>The A.T. Guide (2015 Northbound)</t>
  </si>
  <si>
    <t>AT Passport</t>
  </si>
  <si>
    <t>Baggie 4</t>
  </si>
  <si>
    <t>Appalachian Trail Passport</t>
  </si>
  <si>
    <t>Sleeping Bag Liner</t>
  </si>
  <si>
    <t>Sea to Summit Thermolite Reactor Extreme Mummy Bag Liner</t>
  </si>
  <si>
    <t>Hammock Insulation</t>
  </si>
  <si>
    <t>Hennessy Radiant Double Bubble Pad XL</t>
  </si>
  <si>
    <t>Hammock</t>
  </si>
  <si>
    <t>Outside</t>
  </si>
  <si>
    <t xml:space="preserve">Hennessey Hammock Explorer Ultralight Asym Zip w/ Snakeskins and Gravity Gear Muletape Suspension (in Sea to Summit Big River Dry Bag 13L) </t>
  </si>
  <si>
    <t>Hammock Rainfly</t>
  </si>
  <si>
    <t>Hennessey Hex Rainfly 30D Silnylon w/ Snakeskins &amp; 60ft 1.75mm Dyneema Cord &amp; 4 MSR Stakes</t>
  </si>
  <si>
    <t>Tent</t>
  </si>
  <si>
    <t>Big Agnes Superlight Seedhouse SL2 (and Big Agnes Seedhouse SL 2 Footprint in Sea to Summit Big River Dry Bag 8L)</t>
  </si>
  <si>
    <t>Tent (Poles and Stakes)</t>
  </si>
  <si>
    <t>Tent poles and stakes</t>
  </si>
  <si>
    <t>Water Bottle (Platypus 2L)</t>
  </si>
  <si>
    <t>Platypus plusBottle 2-Liter Flexible Water Bottle</t>
  </si>
  <si>
    <t>1.75mm Dyneema Cord (30')</t>
  </si>
  <si>
    <t>Blue Stuff Sack</t>
  </si>
  <si>
    <t>1.75mm Dyneema Cord (30', yellow) to hang food</t>
  </si>
  <si>
    <t>Backpack - Daylight AddOn</t>
  </si>
  <si>
    <t>Osprey Daylite Removable Backpack Attachment</t>
  </si>
  <si>
    <t>Earflap Hat</t>
  </si>
  <si>
    <t>Ear Flap Hat (for night)</t>
  </si>
  <si>
    <t>Shirt (Black)</t>
  </si>
  <si>
    <t>Under Armour Black T-Shirt</t>
  </si>
  <si>
    <t>New Balance Polyester/Spandex Leggings</t>
  </si>
  <si>
    <t>Shorts (camp, pink)</t>
  </si>
  <si>
    <t>Shorts (pink)</t>
  </si>
  <si>
    <t>Tank Top</t>
  </si>
  <si>
    <t>Black Nike Dri-Fit Tank Top</t>
  </si>
  <si>
    <t>Pants / Shorts (Black)</t>
  </si>
  <si>
    <t>Kuhl Liberator Convertible Pants / Shorts</t>
  </si>
  <si>
    <t>Shirt (Pink)</t>
  </si>
  <si>
    <t>Outdoor Research Pink Hiking Shirt</t>
  </si>
  <si>
    <t>Shorts (aero)</t>
  </si>
  <si>
    <t>Socks (black/blue)</t>
  </si>
  <si>
    <t>Socks (black/blue, synthetic liner and Darn Tough wool outer)</t>
  </si>
  <si>
    <t>Socks (gray/orange)</t>
  </si>
  <si>
    <t>Socks (gray/orange, synthetic liner and Darn Tough wool outer)</t>
  </si>
  <si>
    <t>Socks (gray/teal)</t>
  </si>
  <si>
    <t>Socks (gray/teal, synthetic liner and Darn Tough wool outer)</t>
  </si>
  <si>
    <t>Gloves (light)</t>
  </si>
  <si>
    <t>Brooks Running Gloves/Mittens</t>
  </si>
  <si>
    <t>Buff Headwear (pink)</t>
  </si>
  <si>
    <t>Buff headwear (bandana)</t>
  </si>
  <si>
    <t>Rain Jacket</t>
  </si>
  <si>
    <t>REI Chinuka Rain Jacket</t>
  </si>
  <si>
    <t>Rain Pants</t>
  </si>
  <si>
    <t>REI Chinuka Rain Pants</t>
  </si>
  <si>
    <t>Rain Poncho</t>
  </si>
  <si>
    <t>Snugpak - Patrol Poncho</t>
  </si>
  <si>
    <t>Salomon Bonatti Waterproof Running Jacket</t>
  </si>
  <si>
    <t>Hiking Gaiters</t>
  </si>
  <si>
    <t>Outdoor Research SPARKPLUG GAITERS™</t>
  </si>
  <si>
    <t>Knee Braces</t>
  </si>
  <si>
    <t>Rehband Knee Braces (2)</t>
  </si>
  <si>
    <t>Capri Pants (black/gray camo)</t>
  </si>
  <si>
    <t>Under Armour Heat Gear Capri Pants (black/gray camo)</t>
  </si>
  <si>
    <t>Buff Headwear (green/orange)</t>
  </si>
  <si>
    <t>Buff headwear</t>
  </si>
  <si>
    <t>Marmot Precip Rain Jacket</t>
  </si>
  <si>
    <t>Belt</t>
  </si>
  <si>
    <t>Bison Designs Manzo Reversible Belt</t>
  </si>
  <si>
    <t>Pants / Shorts (khaki)</t>
  </si>
  <si>
    <t>Kuhl Liberator Convertible Pants/Shorts</t>
  </si>
  <si>
    <t>Socks (gray/blue)</t>
  </si>
  <si>
    <t>Socks (gray/blue, synthetic liner and Darn Tough wool outer)</t>
  </si>
  <si>
    <t>SunDay Afternoons Sun Guide Cap (w/ detachable neck cape)</t>
  </si>
  <si>
    <t>Food (in Bear Bag)</t>
  </si>
  <si>
    <t>Water (32oz)</t>
  </si>
  <si>
    <t>Water 32oz</t>
  </si>
  <si>
    <t>Batteries (AA)</t>
  </si>
  <si>
    <t>4 Spare AA Batteries (for GPS)</t>
  </si>
  <si>
    <t>Headphones</t>
  </si>
  <si>
    <t>Headphones w/ Adaptor</t>
  </si>
  <si>
    <t>Spare iPhone Battery 1</t>
  </si>
  <si>
    <t>Anker 2nd Gen. Astro 6000mAh External Battery Charger with PowerIQ™ Technology</t>
  </si>
  <si>
    <t>Spare iPhone Battery</t>
  </si>
  <si>
    <t>Anker Astro Mini 3000mAh External Battery with PowerIQ™ Technology</t>
  </si>
  <si>
    <t>Boots</t>
  </si>
  <si>
    <t>Asolo Fission GV Women's Hiking Boots</t>
  </si>
  <si>
    <t>Snow Baskets</t>
  </si>
  <si>
    <t>Black Diamond Snow Baskets for Trekking Poles</t>
  </si>
  <si>
    <t>A&amp;D Ointment</t>
  </si>
  <si>
    <t>Body Glide Anti-Chafe</t>
  </si>
  <si>
    <t>Electrolytes</t>
  </si>
  <si>
    <t>Nuun Electrolyte Tablets</t>
  </si>
  <si>
    <t>Salt</t>
  </si>
  <si>
    <t>Celtic Sea Salt (4 pouches)</t>
  </si>
  <si>
    <t>Osprey UL Raincover for Backpack</t>
  </si>
  <si>
    <t>GPS</t>
  </si>
  <si>
    <t>Garmin GPSMAP 62st</t>
  </si>
  <si>
    <t>Shock Cord Repair Kit</t>
  </si>
  <si>
    <t>Bear Bag</t>
  </si>
  <si>
    <t>Ursack Bear Resistant Food Storage Bag - S29-3 AllWhite (w/ OpSak Odor Proof Bag)</t>
  </si>
  <si>
    <t>BearVault BV500 Food Container</t>
  </si>
  <si>
    <t>Dry Sack (20L)</t>
  </si>
  <si>
    <t>Sea to Summit Ultra-Sil Dry Sack (20L, pink) for Sleeping Bag</t>
  </si>
  <si>
    <t>Dry Sack (8L)</t>
  </si>
  <si>
    <t>Sea to Summit Ultra-Sil Dry Sack (8L, pink)</t>
  </si>
  <si>
    <t>Odor-Proof Food Bags (3)</t>
  </si>
  <si>
    <t>LokSak OpSak Odor Proof Food Bags</t>
  </si>
  <si>
    <t>Large Carabiners</t>
  </si>
  <si>
    <t>Carabiners (2) for hanging food</t>
  </si>
  <si>
    <t>River Bag Dry Sack (13L)</t>
  </si>
  <si>
    <t>Sea to Summit Big River Dry Bag (13L, blue)</t>
  </si>
  <si>
    <t>Hand Shovel</t>
  </si>
  <si>
    <t>Coleman Exponent Hand Trowel Shovel (for latrine digging)</t>
  </si>
  <si>
    <t>Emergency Rain Poncho</t>
  </si>
  <si>
    <t>Cheap Flimsy Rain Poncho</t>
  </si>
  <si>
    <t>Lip Balm</t>
  </si>
  <si>
    <t>Hipbelt</t>
  </si>
  <si>
    <t>Burts Bees Rejuvinating Lip Balm</t>
  </si>
  <si>
    <t>Tissue</t>
  </si>
  <si>
    <t>Tissues</t>
  </si>
  <si>
    <t>Deodorant</t>
  </si>
  <si>
    <t>Face Moisturizer</t>
  </si>
  <si>
    <t>Simple Replenishing Rich Moisturizer</t>
  </si>
  <si>
    <t>Sea to Summit Ultra-Sil Folding Water Bucket (10L)</t>
  </si>
  <si>
    <t>Washcloth</t>
  </si>
  <si>
    <t>Sea to Summit Tek Towel Washcloths</t>
  </si>
  <si>
    <t>Sunscreen</t>
  </si>
  <si>
    <t>Sawyer Stay Put Sunscreen SPF 50</t>
  </si>
  <si>
    <t>Hand Cream</t>
  </si>
  <si>
    <t>Neutrogena Hand Cream</t>
  </si>
  <si>
    <t>Soap (hand)</t>
  </si>
  <si>
    <t>Sea to Summit Wilderness Wash Pocket Soap</t>
  </si>
  <si>
    <t>SPF Stick</t>
  </si>
  <si>
    <t>Palmer's Cocoa Butter SPF30 Stick</t>
  </si>
  <si>
    <t>REI Mini MultiTowel</t>
  </si>
  <si>
    <t>Travel Pillow</t>
  </si>
  <si>
    <t>Luxury</t>
  </si>
  <si>
    <t>Cocoon Down Travel Pillow</t>
  </si>
  <si>
    <t>Bug Spray</t>
  </si>
  <si>
    <t>Coleman Botanicals Insect Repellent</t>
  </si>
  <si>
    <t>Harmonica</t>
  </si>
  <si>
    <t>Lens Anti-Fog</t>
  </si>
  <si>
    <t>Cat Crap Lens Cleaner Anti-Fog</t>
  </si>
  <si>
    <t>Baggies</t>
  </si>
  <si>
    <t>Spare various size baggies</t>
  </si>
  <si>
    <t>Battery Charger</t>
  </si>
  <si>
    <t>Energizer Battery Charger (w/ 4 AA and 4 AAA batteries)</t>
  </si>
  <si>
    <t>Binoculars</t>
  </si>
  <si>
    <t>Compact Binoculars</t>
  </si>
  <si>
    <t>Insoles</t>
  </si>
  <si>
    <t>New Balance Supportive Cushioning Insoles</t>
  </si>
  <si>
    <t>John Muir Trail Data Book</t>
  </si>
  <si>
    <t>Elizabeth Wenk's John Muir Trail Data Book</t>
  </si>
  <si>
    <t>PCT / JMT Guide</t>
  </si>
  <si>
    <t>Yogi's PCT Handbook (Pages) &amp; Wenk JMT Guide</t>
  </si>
  <si>
    <t>Voyager 800 Lightweight Sleeping Bag (in 13L Sea to Summit Ultra-Sil Dry Sack)</t>
  </si>
  <si>
    <t>Thermarest ProLite 4 Self Inflating Sleeping Pad</t>
  </si>
  <si>
    <t>Duct Tape</t>
  </si>
  <si>
    <t>Small Roll Gorilla Tape</t>
  </si>
  <si>
    <t>550 Paracord (30'x1)</t>
  </si>
  <si>
    <t>30'x1 550 Paracord</t>
  </si>
  <si>
    <t>550 Paracord (30'x2)</t>
  </si>
  <si>
    <t>30'x2 550 Paracord</t>
  </si>
  <si>
    <t>Cord/Rope</t>
  </si>
  <si>
    <t>23' Heavy Duty Cord/Rope</t>
  </si>
  <si>
    <t>IsoPro Fuel (4oz)</t>
  </si>
  <si>
    <t>MSR® ISOPRO™ Fuel (4oz)</t>
  </si>
  <si>
    <t>Bear Bell</t>
  </si>
  <si>
    <t>Coghlans Bear Bell</t>
  </si>
  <si>
    <t>Bear Spray</t>
  </si>
  <si>
    <t>Bear Spray w/ holster</t>
  </si>
  <si>
    <t>Lighter</t>
  </si>
  <si>
    <t>Ultimate Survival Technologies Klipp Lighter</t>
  </si>
  <si>
    <t>REI 32oz Nalgene Wide-Mouth Loop-Top Water Bottle filled w/ water (6.25oz Empty)</t>
  </si>
  <si>
    <t>Water Bottle (Vapur)</t>
  </si>
  <si>
    <t>Vapur Collapsible Water Bottle 1-Liter</t>
  </si>
  <si>
    <t>Knife</t>
  </si>
  <si>
    <t>Schrade Fixed Blade Knife (w/ knife sharpener &amp; holster)</t>
  </si>
  <si>
    <t>Can Opener</t>
  </si>
  <si>
    <t>Coghlan's Basic Can / Bottle Opener in Loksak</t>
  </si>
  <si>
    <t>Swiss Army Knife</t>
  </si>
  <si>
    <t>Swiss Army Multitool + mini multitool</t>
  </si>
  <si>
    <t>Firestarter Kit</t>
  </si>
  <si>
    <t>In Loksak - cotton tinder, FireSteel® Scout 2.0 fire starter tool, wetfire tinder</t>
  </si>
  <si>
    <t>Magnesium Fire Starters</t>
  </si>
  <si>
    <t>Magnesium Fire Starters (2)</t>
  </si>
  <si>
    <t>Survival Blanket</t>
  </si>
  <si>
    <t>SOL 1-2 Person Survival Blanket</t>
  </si>
  <si>
    <t>Water Bladder</t>
  </si>
  <si>
    <t>Osprey 100oz bladder (insulated, empty)</t>
  </si>
  <si>
    <t>Total Weight (lbs)</t>
  </si>
  <si>
    <t>RED ITEMS = Those to pack last minute or hasn't been weighed/accounted for yet</t>
  </si>
  <si>
    <t>Sum of Total Weight (oz)</t>
  </si>
  <si>
    <t>Percentage of Total Weight (oz)</t>
  </si>
  <si>
    <t>Sum of Total Pounds</t>
  </si>
  <si>
    <t>Backpack Total</t>
  </si>
  <si>
    <t>Clothing (Carry) Total</t>
  </si>
  <si>
    <t>Clothing (Wear) Total</t>
  </si>
  <si>
    <t>Electronics Total</t>
  </si>
  <si>
    <t>Equipment Total</t>
  </si>
  <si>
    <t>First Aid Total</t>
  </si>
  <si>
    <t>Food / Water / Fuel Total</t>
  </si>
  <si>
    <t>Gear Total</t>
  </si>
  <si>
    <t>Hygiene Total</t>
  </si>
  <si>
    <t>Misc Total</t>
  </si>
  <si>
    <t>Reference Total</t>
  </si>
  <si>
    <t>Shelter and Sleep Total</t>
  </si>
  <si>
    <t>Survival Total</t>
  </si>
  <si>
    <t>Critical Total</t>
  </si>
  <si>
    <t>Optional Total</t>
  </si>
  <si>
    <t>Puffy Jacket</t>
  </si>
  <si>
    <t>Camp Shirt</t>
  </si>
  <si>
    <t>Water Shoe</t>
  </si>
  <si>
    <t>Socks (gray)</t>
  </si>
  <si>
    <t>Underwear (gray/blue)</t>
  </si>
  <si>
    <t>Saline Nasal Spray</t>
  </si>
  <si>
    <t>Salve</t>
  </si>
  <si>
    <t>Dry Sack (13L)</t>
  </si>
  <si>
    <t>Pack Travel Case</t>
  </si>
  <si>
    <t>Carry Case (water filtration kit)</t>
  </si>
  <si>
    <t>Cord Bracelet</t>
  </si>
  <si>
    <t>Consumables Total</t>
  </si>
  <si>
    <t>Cup</t>
  </si>
  <si>
    <t>Cards</t>
  </si>
  <si>
    <t>Luxury Total</t>
  </si>
  <si>
    <t>Osprey Aether 70 Backpack</t>
  </si>
  <si>
    <t>North Face Thermoball Jacket</t>
  </si>
  <si>
    <t>VivoBarefoot Ultra Pure Amphibious Sneaker</t>
  </si>
  <si>
    <t>Socks (gray, synthetic liner and Smartwool wool outer)</t>
  </si>
  <si>
    <t>Undewear (gray/blue, Champion)</t>
  </si>
  <si>
    <t>Cabela's Nylon Belt</t>
  </si>
  <si>
    <t>Brimmed Hat</t>
  </si>
  <si>
    <t>Columbia Sun Hat</t>
  </si>
  <si>
    <t>Hiking Pants</t>
  </si>
  <si>
    <t xml:space="preserve">KUHL Renegade Convertible Pants  </t>
  </si>
  <si>
    <t>Hiking Shirt</t>
  </si>
  <si>
    <t>ExOfficio Long Sleeve Shirt</t>
  </si>
  <si>
    <t>Socks (gray/blue/green stripe)</t>
  </si>
  <si>
    <t>Socks (gray/blue/green stripe, synthetic liner and Smartwool wool outer)</t>
  </si>
  <si>
    <t>Underwear (black/red)</t>
  </si>
  <si>
    <t>Underwear (black/red, ExOfficio)</t>
  </si>
  <si>
    <t>Gloves (Sun)</t>
  </si>
  <si>
    <t>Outdoor Research Active Ice Sun Gloves</t>
  </si>
  <si>
    <t>HikingBoots</t>
  </si>
  <si>
    <t>Keen Cascade Hiking Boot</t>
  </si>
  <si>
    <t>Black Diamond Aluminum Trekking Poles</t>
  </si>
  <si>
    <t>Wild Ideas Bearikade Expedition Bear Cansiter</t>
  </si>
  <si>
    <t>Sea to Summit Ultralight Dry Sack (13L, blue) for Camp Clothes</t>
  </si>
  <si>
    <t>Sea to Summit ultralight Dry Sack (13L, Yellow) for Sleeping Bag</t>
  </si>
  <si>
    <t>Black Diamond Storm Headlamp (w/ 4 AAA Batteries)</t>
  </si>
  <si>
    <t>Sea to Summit Mesh Stuff Sack (M)</t>
  </si>
  <si>
    <t>Wysi Wipe Multi-Purpose Wipes (in Loksak)</t>
  </si>
  <si>
    <t>Coleman Botanicals Insect Repellent (in ziploc)</t>
  </si>
  <si>
    <t>Sea to Summit Alloy Buckle Accessory Straps (3ft)</t>
  </si>
  <si>
    <t>Baby Airline Stroller Carry Case for Backpack to Fly</t>
  </si>
  <si>
    <t>Plastic Spoon/Fork</t>
  </si>
  <si>
    <t>REI Stuff Sack Pillow</t>
  </si>
  <si>
    <t xml:space="preserve">Therm-a-Rest NeoAir XLite Sleeping Pad </t>
  </si>
  <si>
    <t>Big Agnes Copper Spur 3-person Tent (in Sea to Summit Big River Dry Bag 13L)</t>
  </si>
  <si>
    <t>Deuter Pouch (for water filtration kit)</t>
  </si>
  <si>
    <t>550 Paracord Bracelet</t>
  </si>
  <si>
    <t>Benchmade 556 Griptilian Non-Serrated Locking Knife</t>
  </si>
  <si>
    <t xml:space="preserve">Nalgene Wide Mouth HDPE Bottle - 32 fl. oz. </t>
  </si>
  <si>
    <t>Platypus plusBottle 2-Liter Water Bottle with homemade handle</t>
  </si>
  <si>
    <t>Sawyer Water Filtration System (mini, 1 Gallon Gravity Bag, 2ft attachment hose, caps) in mesh bag</t>
  </si>
  <si>
    <t>Trekking Pole Tip</t>
  </si>
  <si>
    <t>Black Diamond Trekking Pole Tip (spare)</t>
  </si>
  <si>
    <t>Sea to Summit X-Mug Silicone Collapsibe Mug</t>
  </si>
  <si>
    <t>Don't Die Out There Playing Cards</t>
  </si>
  <si>
    <t>Camp Crampons (in carry case)</t>
  </si>
  <si>
    <t>Microspikes</t>
  </si>
  <si>
    <t>JetBoil Solo</t>
  </si>
  <si>
    <t>ExOfficio Convertible Hiking Pants (brown)</t>
  </si>
  <si>
    <t xml:space="preserve">For clarity and helping you to see what I've done, I've left this sheet populated with data from our 2018 hike.
This sheet contains a list of ALL gear that I have accumulated over the years. For each expedition, I go through this list and select items that I plan bring on that particular trip. We are not ultralight (or even lightweight) hikers, please don't judge.
I use this list not only to tabulate the amount of weight I will be carrying, but I also use it as a checklist to make sure that I have everything I need. </t>
  </si>
  <si>
    <t xml:space="preserve">For clarity and helping you to see what I've done, I've left this sheet populated with data from our 2018 hike.
This sheet is a pivot table that summarizes the data contained in the sheet 'Summary (Lisa)'. It is filtered to pull only the items that are checked to bring on the trail. We are not ultralight (or even lightweight) hikers, please don't judge.
I use this list not only to tabulate the amount of weight I will be carrying, but I also use it as a checklist to make sure that I have everything I need.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</si>
</sst>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164" formatCode="[$-F800]dddd\,\ mmmm\ dd\,\ yyyy"/>
    <numFmt numFmtId="165" formatCode="_([$$-409]* #,##0.00_);_([$$-409]* \(#,##0.00\);_([$$-409]* &quot;-&quot;??_);_(@_)"/>
    <numFmt numFmtId="166" formatCode="&quot;$&quot;#,##0.00"/>
    <numFmt numFmtId="167" formatCode="0.0"/>
    <numFmt numFmtId="168" formatCode="0.000"/>
  </numFmts>
  <fonts count="61" x14ac:knownFonts="1">
    <font>
      <sz val="12"/>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u/>
      <sz val="12"/>
      <color theme="10"/>
      <name val="Calibri"/>
      <family val="2"/>
      <scheme val="minor"/>
    </font>
    <font>
      <u/>
      <sz val="12"/>
      <color theme="11"/>
      <name val="Calibri"/>
      <family val="2"/>
      <scheme val="minor"/>
    </font>
    <font>
      <sz val="8"/>
      <name val="Calibri"/>
      <family val="2"/>
      <scheme val="minor"/>
    </font>
    <font>
      <sz val="12"/>
      <color theme="1"/>
      <name val="Arial"/>
      <family val="2"/>
    </font>
    <font>
      <sz val="12"/>
      <color rgb="FFFF0000"/>
      <name val="Arial"/>
      <family val="2"/>
    </font>
    <font>
      <sz val="12"/>
      <color rgb="FF0000FF"/>
      <name val="Arial"/>
      <family val="2"/>
    </font>
    <font>
      <sz val="12"/>
      <name val="Arial"/>
      <family val="2"/>
    </font>
    <font>
      <sz val="12"/>
      <color rgb="FF008000"/>
      <name val="Arial"/>
      <family val="2"/>
    </font>
    <font>
      <sz val="11"/>
      <color theme="1"/>
      <name val="Calibri"/>
      <family val="2"/>
      <scheme val="minor"/>
    </font>
    <font>
      <u/>
      <sz val="11"/>
      <color theme="10"/>
      <name val="Calibri"/>
      <family val="2"/>
      <scheme val="minor"/>
    </font>
    <font>
      <b/>
      <sz val="12"/>
      <color rgb="FF008000"/>
      <name val="Arial"/>
      <family val="2"/>
    </font>
    <font>
      <b/>
      <sz val="12"/>
      <name val="Arial"/>
      <family val="2"/>
    </font>
    <font>
      <u/>
      <sz val="12"/>
      <name val="Calibri"/>
      <family val="2"/>
      <scheme val="minor"/>
    </font>
    <font>
      <b/>
      <sz val="12"/>
      <color theme="1"/>
      <name val="Arial"/>
      <family val="2"/>
    </font>
    <font>
      <b/>
      <sz val="12"/>
      <color rgb="FFFF0000"/>
      <name val="Arial"/>
      <family val="2"/>
    </font>
    <font>
      <sz val="12"/>
      <color rgb="FF3366FF"/>
      <name val="Arial"/>
      <family val="2"/>
    </font>
    <font>
      <u/>
      <sz val="12"/>
      <color theme="10"/>
      <name val="Arial"/>
      <family val="2"/>
    </font>
    <font>
      <sz val="12"/>
      <color rgb="FFFF0000"/>
      <name val="Calibri"/>
      <family val="2"/>
      <scheme val="minor"/>
    </font>
    <font>
      <sz val="12"/>
      <color rgb="FF008000"/>
      <name val="Calibri"/>
      <family val="2"/>
      <scheme val="minor"/>
    </font>
    <font>
      <b/>
      <sz val="12"/>
      <color rgb="FF0432FF"/>
      <name val="Arial"/>
      <family val="2"/>
    </font>
    <font>
      <b/>
      <sz val="12"/>
      <color rgb="FF0432FF"/>
      <name val="Calibri"/>
      <family val="2"/>
      <scheme val="minor"/>
    </font>
    <font>
      <b/>
      <sz val="14"/>
      <color rgb="FFFF0000"/>
      <name val="Arial"/>
      <family val="2"/>
    </font>
    <font>
      <b/>
      <u/>
      <sz val="18"/>
      <color theme="3"/>
      <name val="Arial"/>
      <family val="2"/>
    </font>
    <font>
      <sz val="12"/>
      <color theme="1"/>
      <name val="Calibri"/>
      <family val="2"/>
      <scheme val="minor"/>
    </font>
    <font>
      <b/>
      <sz val="12"/>
      <color theme="1"/>
      <name val="Calibri"/>
      <family val="2"/>
      <scheme val="minor"/>
    </font>
    <font>
      <b/>
      <sz val="12"/>
      <color rgb="FFFF0000"/>
      <name val="Calibri"/>
      <family val="2"/>
      <scheme val="minor"/>
    </font>
    <font>
      <b/>
      <u/>
      <sz val="12"/>
      <color rgb="FFFF0000"/>
      <name val="Calibri"/>
      <family val="2"/>
      <scheme val="minor"/>
    </font>
    <font>
      <b/>
      <u/>
      <sz val="12"/>
      <color theme="1"/>
      <name val="Arial"/>
      <family val="2"/>
    </font>
    <font>
      <b/>
      <sz val="14"/>
      <color rgb="FFFF0000"/>
      <name val="Calibri"/>
      <family val="2"/>
      <scheme val="minor"/>
    </font>
    <font>
      <sz val="12"/>
      <color rgb="FF000000"/>
      <name val="Arial"/>
      <family val="2"/>
    </font>
    <font>
      <u/>
      <sz val="12"/>
      <name val="Arial"/>
      <family val="2"/>
    </font>
    <font>
      <sz val="12"/>
      <name val="Calibri"/>
      <family val="2"/>
      <scheme val="minor"/>
    </font>
    <font>
      <sz val="12"/>
      <color rgb="FF0432FF"/>
      <name val="Calibri"/>
      <family val="2"/>
      <scheme val="minor"/>
    </font>
    <font>
      <strike/>
      <sz val="12"/>
      <color rgb="FFFF0000"/>
      <name val="Arial"/>
      <family val="2"/>
    </font>
    <font>
      <strike/>
      <sz val="12"/>
      <color rgb="FFFF0000"/>
      <name val="Calibri"/>
      <family val="2"/>
      <scheme val="minor"/>
    </font>
    <font>
      <b/>
      <sz val="14"/>
      <color theme="1"/>
      <name val="Arial"/>
      <family val="2"/>
    </font>
    <font>
      <sz val="12"/>
      <color rgb="FF0432FF"/>
      <name val="Arial"/>
      <family val="2"/>
    </font>
    <font>
      <strike/>
      <sz val="12"/>
      <name val="Arial"/>
      <family val="2"/>
    </font>
    <font>
      <strike/>
      <sz val="12"/>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0"/>
      <color rgb="FF000000"/>
      <name val="Calibri"/>
      <family val="2"/>
    </font>
    <font>
      <sz val="12"/>
      <color rgb="FF0021F5"/>
      <name val="Arial"/>
      <family val="2"/>
    </font>
    <font>
      <u/>
      <sz val="12"/>
      <color rgb="FF0000FF"/>
      <name val="Arial"/>
      <family val="2"/>
    </font>
    <font>
      <u/>
      <sz val="12"/>
      <color rgb="FF0021F5"/>
      <name val="Arial"/>
      <family val="2"/>
    </font>
    <font>
      <sz val="12"/>
      <color theme="0" tint="-0.499984740745262"/>
      <name val="Arial"/>
      <family val="2"/>
    </font>
    <font>
      <sz val="12"/>
      <color rgb="FFFF9300"/>
      <name val="Arial"/>
      <family val="2"/>
    </font>
    <font>
      <u/>
      <sz val="12"/>
      <color rgb="FFFF0000"/>
      <name val="Arial"/>
      <family val="2"/>
    </font>
    <font>
      <u/>
      <sz val="12"/>
      <color theme="0" tint="-0.499984740745262"/>
      <name val="Arial"/>
      <family val="2"/>
    </font>
    <font>
      <i/>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rgb="FFFA9FCD"/>
        <bgColor indexed="64"/>
      </patternFill>
    </fill>
    <fill>
      <patternFill patternType="solid">
        <fgColor rgb="FFC8EEB3"/>
        <bgColor indexed="64"/>
      </patternFill>
    </fill>
  </fills>
  <borders count="9">
    <border>
      <left/>
      <right/>
      <top/>
      <bottom/>
      <diagonal/>
    </border>
    <border>
      <left style="thin">
        <color auto="1"/>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auto="1"/>
      </bottom>
      <diagonal/>
    </border>
    <border>
      <left/>
      <right/>
      <top style="thin">
        <color auto="1"/>
      </top>
      <bottom/>
      <diagonal/>
    </border>
  </borders>
  <cellStyleXfs count="1020">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8" fillId="0" borderId="0"/>
    <xf numFmtId="0" fontId="1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4" fontId="33" fillId="0" borderId="0" applyFont="0" applyFill="0" applyBorder="0" applyAlignment="0" applyProtection="0"/>
  </cellStyleXfs>
  <cellXfs count="458">
    <xf numFmtId="0" fontId="0" fillId="0" borderId="0" xfId="0"/>
    <xf numFmtId="164" fontId="13"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8" fillId="0" borderId="0" xfId="0" applyFont="1" applyAlignment="1">
      <alignment horizontal="center" vertical="center" wrapText="1"/>
    </xf>
    <xf numFmtId="0" fontId="14" fillId="0" borderId="0" xfId="0" applyFont="1" applyFill="1" applyAlignment="1">
      <alignment vertical="center" wrapText="1"/>
    </xf>
    <xf numFmtId="0" fontId="14" fillId="2" borderId="0" xfId="0" applyFont="1" applyFill="1" applyAlignment="1">
      <alignment vertical="center" wrapText="1"/>
    </xf>
    <xf numFmtId="0" fontId="13" fillId="2" borderId="0" xfId="0" applyFont="1" applyFill="1" applyAlignment="1">
      <alignment vertical="center" wrapText="1"/>
    </xf>
    <xf numFmtId="0" fontId="8" fillId="0" borderId="0" xfId="0" applyFont="1" applyFill="1" applyAlignment="1">
      <alignment vertical="center" wrapText="1"/>
    </xf>
    <xf numFmtId="0" fontId="13" fillId="0" borderId="0" xfId="0" applyFont="1" applyFill="1" applyAlignment="1">
      <alignment vertical="center" wrapText="1"/>
    </xf>
    <xf numFmtId="0" fontId="13" fillId="2" borderId="0" xfId="0" applyFont="1" applyFill="1" applyAlignment="1">
      <alignment vertical="center"/>
    </xf>
    <xf numFmtId="0" fontId="13" fillId="0" borderId="0" xfId="0" applyFont="1" applyAlignment="1">
      <alignment vertical="center" wrapText="1"/>
    </xf>
    <xf numFmtId="0" fontId="8" fillId="2" borderId="0" xfId="0" applyFont="1" applyFill="1" applyAlignment="1">
      <alignment vertical="center" wrapText="1"/>
    </xf>
    <xf numFmtId="164" fontId="13"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0" xfId="0" applyFont="1" applyFill="1" applyBorder="1" applyAlignment="1">
      <alignment vertical="center" wrapText="1"/>
    </xf>
    <xf numFmtId="0" fontId="17" fillId="0" borderId="0" xfId="0" applyFont="1" applyFill="1" applyAlignment="1">
      <alignment horizontal="center" vertical="center"/>
    </xf>
    <xf numFmtId="0" fontId="14" fillId="0" borderId="0" xfId="0" applyFont="1" applyFill="1" applyAlignment="1">
      <alignment vertical="center"/>
    </xf>
    <xf numFmtId="164" fontId="13" fillId="2" borderId="0" xfId="0" applyNumberFormat="1" applyFont="1" applyFill="1" applyBorder="1" applyAlignment="1">
      <alignment horizontal="left" vertical="center"/>
    </xf>
    <xf numFmtId="0" fontId="14" fillId="2" borderId="0"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vertical="center"/>
    </xf>
    <xf numFmtId="0" fontId="13"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wrapText="1"/>
    </xf>
    <xf numFmtId="0" fontId="13" fillId="2" borderId="1" xfId="0" applyFont="1" applyFill="1" applyBorder="1" applyAlignment="1">
      <alignment horizontal="center" vertical="center"/>
    </xf>
    <xf numFmtId="0" fontId="8" fillId="2" borderId="0" xfId="0" applyFont="1" applyFill="1" applyBorder="1" applyAlignment="1">
      <alignment vertical="center" wrapText="1"/>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wrapText="1"/>
    </xf>
    <xf numFmtId="0" fontId="13" fillId="2" borderId="0" xfId="0" applyFont="1" applyFill="1" applyBorder="1" applyAlignment="1">
      <alignment vertical="center" wrapText="1"/>
    </xf>
    <xf numFmtId="0" fontId="9" fillId="2" borderId="0" xfId="0" applyFont="1" applyFill="1" applyAlignment="1">
      <alignment vertical="center" wrapText="1"/>
    </xf>
    <xf numFmtId="0" fontId="9" fillId="0" borderId="0" xfId="0" applyFont="1" applyFill="1" applyAlignment="1">
      <alignment vertical="center" wrapText="1"/>
    </xf>
    <xf numFmtId="0" fontId="14" fillId="2" borderId="0" xfId="0" applyNumberFormat="1" applyFont="1" applyFill="1" applyBorder="1" applyAlignment="1">
      <alignment horizontal="center" vertical="center"/>
    </xf>
    <xf numFmtId="0" fontId="14" fillId="2" borderId="0" xfId="0"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0" xfId="0" applyFont="1" applyFill="1" applyBorder="1" applyAlignment="1">
      <alignment vertical="center" wrapText="1"/>
    </xf>
    <xf numFmtId="0" fontId="14" fillId="2" borderId="0" xfId="0" applyFont="1" applyFill="1" applyAlignment="1">
      <alignment horizontal="center" vertical="center"/>
    </xf>
    <xf numFmtId="0" fontId="14" fillId="0" borderId="0" xfId="0" applyFont="1" applyFill="1" applyAlignment="1">
      <alignment horizontal="center" vertical="center"/>
    </xf>
    <xf numFmtId="164" fontId="13" fillId="0" borderId="0" xfId="0" applyNumberFormat="1" applyFont="1" applyAlignment="1">
      <alignment horizontal="left" vertical="center"/>
    </xf>
    <xf numFmtId="0" fontId="13" fillId="0" borderId="0" xfId="0" applyNumberFormat="1" applyFont="1" applyAlignment="1">
      <alignment horizontal="center" vertical="center"/>
    </xf>
    <xf numFmtId="0" fontId="13" fillId="0" borderId="0" xfId="0" applyFont="1" applyAlignment="1">
      <alignment horizontal="left" vertical="center" wrapText="1"/>
    </xf>
    <xf numFmtId="0" fontId="13" fillId="0" borderId="1" xfId="0" applyFont="1" applyBorder="1" applyAlignment="1">
      <alignment horizontal="center" vertical="center"/>
    </xf>
    <xf numFmtId="0" fontId="13" fillId="0" borderId="0" xfId="0" applyFont="1" applyAlignment="1">
      <alignment vertical="center"/>
    </xf>
    <xf numFmtId="0" fontId="7" fillId="2" borderId="0" xfId="0" applyFont="1" applyFill="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6" fillId="2" borderId="0" xfId="0" applyFont="1" applyFill="1" applyAlignment="1">
      <alignment vertical="center" wrapText="1"/>
    </xf>
    <xf numFmtId="0" fontId="6" fillId="2"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2" borderId="0" xfId="0" applyFont="1" applyFill="1" applyBorder="1" applyAlignment="1">
      <alignment horizontal="center" vertical="center"/>
    </xf>
    <xf numFmtId="0" fontId="6" fillId="0" borderId="0" xfId="0" applyFont="1" applyFill="1" applyBorder="1" applyAlignment="1">
      <alignment horizontal="center" vertical="center"/>
    </xf>
    <xf numFmtId="164" fontId="14" fillId="2" borderId="0" xfId="0" applyNumberFormat="1" applyFont="1" applyFill="1" applyBorder="1" applyAlignment="1">
      <alignment horizontal="left" vertical="center"/>
    </xf>
    <xf numFmtId="0" fontId="5" fillId="0" borderId="0" xfId="0" applyFont="1" applyFill="1" applyAlignment="1">
      <alignment vertical="center" wrapText="1"/>
    </xf>
    <xf numFmtId="0" fontId="5" fillId="2" borderId="0" xfId="0" applyFont="1" applyFill="1" applyAlignment="1">
      <alignment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164" fontId="1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Alignment="1">
      <alignment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wrapText="1"/>
    </xf>
    <xf numFmtId="0" fontId="15" fillId="0" borderId="0" xfId="0" applyFont="1" applyFill="1" applyAlignment="1">
      <alignment vertical="center"/>
    </xf>
    <xf numFmtId="0" fontId="7" fillId="2" borderId="0" xfId="0" applyFont="1" applyFill="1" applyBorder="1" applyAlignment="1">
      <alignment vertical="center" wrapText="1"/>
    </xf>
    <xf numFmtId="0" fontId="3" fillId="0" borderId="0" xfId="0" applyFont="1" applyFill="1" applyAlignment="1">
      <alignment vertical="center" wrapText="1"/>
    </xf>
    <xf numFmtId="0" fontId="3" fillId="2" borderId="0" xfId="0" applyFont="1" applyFill="1" applyAlignment="1">
      <alignment vertical="center" wrapText="1"/>
    </xf>
    <xf numFmtId="164" fontId="15"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xf>
    <xf numFmtId="0" fontId="2" fillId="0" borderId="0" xfId="0" applyFont="1" applyFill="1" applyAlignment="1">
      <alignment vertical="center" wrapText="1"/>
    </xf>
    <xf numFmtId="164" fontId="17" fillId="0" borderId="0" xfId="0" applyNumberFormat="1" applyFont="1" applyAlignment="1">
      <alignment horizontal="center" vertical="center" wrapText="1"/>
    </xf>
    <xf numFmtId="14"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165" fontId="17" fillId="0" borderId="0" xfId="0" applyNumberFormat="1" applyFont="1" applyAlignment="1">
      <alignment horizontal="center" vertical="center" wrapText="1"/>
    </xf>
    <xf numFmtId="166" fontId="17" fillId="0" borderId="0" xfId="0" applyNumberFormat="1" applyFont="1" applyAlignment="1">
      <alignment horizontal="center" vertical="center" wrapText="1"/>
    </xf>
    <xf numFmtId="165" fontId="20" fillId="0" borderId="0" xfId="0" applyNumberFormat="1" applyFont="1" applyAlignment="1">
      <alignment horizontal="center" vertical="center" wrapText="1"/>
    </xf>
    <xf numFmtId="16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vertical="center" wrapText="1"/>
    </xf>
    <xf numFmtId="165" fontId="21" fillId="0" borderId="0" xfId="0" applyNumberFormat="1" applyFont="1" applyAlignment="1">
      <alignment horizontal="center" vertical="center" wrapText="1"/>
    </xf>
    <xf numFmtId="166" fontId="21" fillId="0" borderId="0" xfId="0" applyNumberFormat="1"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wrapText="1"/>
    </xf>
    <xf numFmtId="165" fontId="16" fillId="0" borderId="0" xfId="0" applyNumberFormat="1" applyFont="1" applyAlignment="1">
      <alignment horizontal="center" vertical="center" wrapText="1"/>
    </xf>
    <xf numFmtId="166" fontId="16" fillId="0" borderId="0" xfId="0" applyNumberFormat="1" applyFont="1" applyAlignment="1">
      <alignment horizontal="center" vertical="center" wrapText="1"/>
    </xf>
    <xf numFmtId="0" fontId="22" fillId="0" borderId="0" xfId="1008" applyFont="1" applyAlignment="1">
      <alignment horizontal="center" vertical="center" wrapText="1"/>
    </xf>
    <xf numFmtId="0" fontId="14" fillId="0" borderId="0" xfId="0" applyFont="1" applyAlignment="1">
      <alignment horizontal="center" vertical="center" wrapText="1"/>
    </xf>
    <xf numFmtId="0" fontId="2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166"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1" fontId="1" fillId="3" borderId="0" xfId="0" applyNumberFormat="1" applyFont="1" applyFill="1" applyAlignment="1">
      <alignment horizontal="center" vertical="center"/>
    </xf>
    <xf numFmtId="0" fontId="1" fillId="4" borderId="0" xfId="0" applyFont="1" applyFill="1" applyAlignment="1">
      <alignment horizontal="center" vertical="center"/>
    </xf>
    <xf numFmtId="1" fontId="1" fillId="0" borderId="0" xfId="0" applyNumberFormat="1" applyFont="1" applyAlignment="1">
      <alignment horizontal="center" vertical="center"/>
    </xf>
    <xf numFmtId="1" fontId="1" fillId="0" borderId="0" xfId="0" applyNumberFormat="1" applyFont="1" applyAlignment="1">
      <alignment horizontal="center" vertical="center" wrapText="1"/>
    </xf>
    <xf numFmtId="1" fontId="1" fillId="4" borderId="0" xfId="0" applyNumberFormat="1" applyFont="1" applyFill="1" applyAlignment="1">
      <alignment horizontal="center" vertical="center"/>
    </xf>
    <xf numFmtId="166" fontId="1" fillId="0" borderId="0" xfId="0" applyNumberFormat="1" applyFont="1" applyAlignment="1">
      <alignment horizontal="center" vertical="center"/>
    </xf>
    <xf numFmtId="0" fontId="16" fillId="5" borderId="0" xfId="0" applyFont="1" applyFill="1" applyAlignment="1">
      <alignment horizontal="center" vertical="center"/>
    </xf>
    <xf numFmtId="0" fontId="16" fillId="5" borderId="0" xfId="0" applyFont="1" applyFill="1" applyAlignment="1">
      <alignment horizontal="left" vertical="center" wrapText="1"/>
    </xf>
    <xf numFmtId="0" fontId="16" fillId="5" borderId="0" xfId="0" applyFont="1" applyFill="1" applyAlignment="1">
      <alignment horizontal="center" vertical="center" wrapText="1"/>
    </xf>
    <xf numFmtId="1" fontId="16" fillId="5" borderId="0" xfId="0" applyNumberFormat="1" applyFont="1" applyFill="1" applyAlignment="1">
      <alignment horizontal="center" vertical="center"/>
    </xf>
    <xf numFmtId="0" fontId="24" fillId="0" borderId="0" xfId="0" applyFont="1" applyAlignment="1">
      <alignment horizontal="left" vertical="center" wrapText="1"/>
    </xf>
    <xf numFmtId="0" fontId="10" fillId="0" borderId="0" xfId="1008" applyAlignment="1">
      <alignment horizontal="center" vertical="center" wrapText="1"/>
    </xf>
    <xf numFmtId="0" fontId="10" fillId="0" borderId="0" xfId="1008"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center" vertical="center"/>
    </xf>
    <xf numFmtId="0" fontId="25" fillId="4" borderId="0" xfId="0" applyFont="1" applyFill="1" applyAlignment="1">
      <alignment horizontal="center" vertical="center"/>
    </xf>
    <xf numFmtId="1" fontId="25" fillId="0" borderId="0" xfId="0" applyNumberFormat="1" applyFont="1" applyAlignment="1">
      <alignment horizontal="center" vertical="center"/>
    </xf>
    <xf numFmtId="1" fontId="25" fillId="4" borderId="0" xfId="0" applyNumberFormat="1" applyFont="1" applyFill="1" applyAlignment="1">
      <alignment horizontal="center" vertical="center"/>
    </xf>
    <xf numFmtId="166" fontId="25" fillId="0" borderId="0" xfId="0" applyNumberFormat="1" applyFont="1" applyAlignment="1">
      <alignment horizontal="center" vertical="center"/>
    </xf>
    <xf numFmtId="0" fontId="2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1" fontId="16" fillId="3" borderId="0" xfId="0" applyNumberFormat="1" applyFont="1" applyFill="1" applyAlignment="1">
      <alignment horizontal="center" vertical="center"/>
    </xf>
    <xf numFmtId="0" fontId="16" fillId="4" borderId="0" xfId="0" applyFont="1" applyFill="1" applyAlignment="1">
      <alignment horizontal="center" vertical="center"/>
    </xf>
    <xf numFmtId="1" fontId="16" fillId="0" borderId="0" xfId="0" applyNumberFormat="1" applyFont="1" applyBorder="1" applyAlignment="1">
      <alignment horizontal="center" vertical="center"/>
    </xf>
    <xf numFmtId="1" fontId="16" fillId="4" borderId="0" xfId="0" applyNumberFormat="1" applyFont="1" applyFill="1" applyBorder="1" applyAlignment="1">
      <alignment horizontal="center" vertical="center"/>
    </xf>
    <xf numFmtId="166" fontId="16" fillId="0" borderId="0" xfId="0" applyNumberFormat="1" applyFont="1" applyAlignment="1">
      <alignment horizontal="center" vertical="center"/>
    </xf>
    <xf numFmtId="1" fontId="1" fillId="0" borderId="0" xfId="0" applyNumberFormat="1" applyFont="1" applyFill="1" applyAlignment="1">
      <alignment horizontal="center" vertical="center"/>
    </xf>
    <xf numFmtId="1" fontId="1" fillId="0" borderId="0" xfId="0" applyNumberFormat="1" applyFont="1" applyFill="1" applyAlignment="1">
      <alignment horizontal="center" vertical="center" wrapText="1"/>
    </xf>
    <xf numFmtId="2" fontId="1" fillId="0" borderId="0" xfId="0" applyNumberFormat="1" applyFont="1" applyAlignment="1">
      <alignment horizontal="center" vertical="center"/>
    </xf>
    <xf numFmtId="0" fontId="14" fillId="0" borderId="0" xfId="0" applyFont="1" applyAlignment="1">
      <alignment horizontal="center" vertical="center"/>
    </xf>
    <xf numFmtId="0" fontId="1" fillId="0" borderId="0" xfId="0" applyNumberFormat="1" applyFont="1" applyAlignment="1">
      <alignment horizontal="center" vertical="center"/>
    </xf>
    <xf numFmtId="1" fontId="1" fillId="4" borderId="0" xfId="0" applyNumberFormat="1" applyFont="1" applyFill="1" applyAlignment="1">
      <alignment horizontal="center" vertical="center" wrapText="1"/>
    </xf>
    <xf numFmtId="167" fontId="1" fillId="0" borderId="0" xfId="0" applyNumberFormat="1" applyFont="1" applyAlignment="1">
      <alignment horizontal="center" vertical="center"/>
    </xf>
    <xf numFmtId="0" fontId="14" fillId="0" borderId="0" xfId="0" applyFont="1" applyAlignment="1">
      <alignment horizontal="left" vertical="center" wrapText="1"/>
    </xf>
    <xf numFmtId="166" fontId="14" fillId="0" borderId="0" xfId="0" applyNumberFormat="1" applyFont="1" applyAlignment="1">
      <alignment horizontal="center" vertical="center"/>
    </xf>
    <xf numFmtId="1" fontId="14" fillId="3" borderId="0" xfId="0" applyNumberFormat="1" applyFont="1" applyFill="1" applyAlignment="1">
      <alignment horizontal="center" vertical="center"/>
    </xf>
    <xf numFmtId="0" fontId="14" fillId="4" borderId="0" xfId="0" applyFont="1" applyFill="1" applyAlignment="1">
      <alignment horizontal="center" vertical="center"/>
    </xf>
    <xf numFmtId="1" fontId="14" fillId="0" borderId="0" xfId="0" applyNumberFormat="1" applyFont="1" applyAlignment="1">
      <alignment horizontal="center" vertical="center"/>
    </xf>
    <xf numFmtId="1" fontId="14" fillId="0" borderId="0" xfId="0" applyNumberFormat="1" applyFont="1" applyAlignment="1">
      <alignment horizontal="center" vertical="center" wrapText="1"/>
    </xf>
    <xf numFmtId="1" fontId="14" fillId="4" borderId="0" xfId="0" applyNumberFormat="1" applyFont="1" applyFill="1" applyAlignment="1">
      <alignment horizontal="center" vertical="center"/>
    </xf>
    <xf numFmtId="1" fontId="1" fillId="3" borderId="0" xfId="0" applyNumberFormat="1" applyFont="1" applyFill="1" applyAlignment="1">
      <alignment horizontal="center" vertical="center" wrapText="1"/>
    </xf>
    <xf numFmtId="0" fontId="1" fillId="4" borderId="0" xfId="0" applyFont="1" applyFill="1" applyAlignment="1">
      <alignment horizontal="center" vertical="center" wrapText="1"/>
    </xf>
    <xf numFmtId="1" fontId="1" fillId="2" borderId="0" xfId="284" applyNumberFormat="1" applyFont="1" applyFill="1" applyAlignment="1"/>
    <xf numFmtId="1" fontId="24" fillId="0" borderId="0" xfId="284" applyNumberFormat="1" applyFont="1" applyAlignment="1"/>
    <xf numFmtId="1" fontId="1" fillId="0" borderId="0" xfId="284" applyNumberFormat="1" applyFont="1" applyAlignment="1"/>
    <xf numFmtId="1" fontId="1" fillId="6" borderId="0" xfId="284" applyNumberFormat="1" applyFont="1" applyFill="1" applyAlignment="1"/>
    <xf numFmtId="1" fontId="23" fillId="7" borderId="0" xfId="284" applyNumberFormat="1" applyFont="1" applyFill="1" applyAlignment="1"/>
    <xf numFmtId="0" fontId="24" fillId="0" borderId="0" xfId="0" applyFont="1" applyAlignment="1">
      <alignment horizontal="center" vertical="center" wrapText="1"/>
    </xf>
    <xf numFmtId="0" fontId="26" fillId="0" borderId="0" xfId="1008" applyFont="1" applyAlignment="1">
      <alignment horizontal="lef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0" fillId="0" borderId="0" xfId="0" applyFont="1" applyBorder="1" applyAlignment="1">
      <alignment horizontal="center" vertical="center"/>
    </xf>
    <xf numFmtId="0" fontId="17" fillId="0" borderId="0" xfId="0" applyFont="1" applyBorder="1" applyAlignment="1">
      <alignment horizontal="center" vertical="center" wrapText="1"/>
    </xf>
    <xf numFmtId="0" fontId="20" fillId="0" borderId="0" xfId="284" applyFont="1" applyFill="1" applyBorder="1" applyAlignment="1">
      <alignment horizontal="center"/>
    </xf>
    <xf numFmtId="0" fontId="23" fillId="0" borderId="0" xfId="284" applyFont="1" applyFill="1" applyBorder="1" applyAlignment="1">
      <alignment horizontal="center" vertical="center" wrapText="1"/>
    </xf>
    <xf numFmtId="0" fontId="24" fillId="0" borderId="0" xfId="284" applyFont="1" applyFill="1" applyBorder="1" applyAlignment="1">
      <alignment horizontal="center" vertical="center" wrapText="1"/>
    </xf>
    <xf numFmtId="0" fontId="16" fillId="0" borderId="0" xfId="0" applyFont="1" applyBorder="1" applyAlignment="1">
      <alignment horizontal="center" vertical="center" wrapText="1"/>
    </xf>
    <xf numFmtId="0" fontId="24" fillId="0" borderId="0" xfId="284" applyFont="1" applyFill="1" applyBorder="1" applyAlignment="1">
      <alignment horizontal="center" wrapText="1"/>
    </xf>
    <xf numFmtId="0" fontId="16" fillId="0" borderId="0" xfId="0" applyFont="1" applyBorder="1" applyAlignment="1">
      <alignment horizontal="center" vertical="center"/>
    </xf>
    <xf numFmtId="0" fontId="24" fillId="0" borderId="0" xfId="0" applyFont="1" applyBorder="1" applyAlignment="1">
      <alignment horizontal="center" vertical="center"/>
    </xf>
    <xf numFmtId="164" fontId="24" fillId="0" borderId="0" xfId="0" applyNumberFormat="1" applyFont="1" applyAlignment="1">
      <alignment horizontal="left" vertical="center"/>
    </xf>
    <xf numFmtId="0" fontId="23" fillId="7" borderId="0" xfId="0" applyFont="1" applyFill="1" applyBorder="1" applyAlignment="1">
      <alignment horizontal="center" vertical="center" wrapText="1"/>
    </xf>
    <xf numFmtId="0" fontId="23" fillId="7" borderId="0" xfId="0" applyFont="1" applyFill="1" applyBorder="1" applyAlignment="1">
      <alignment horizontal="center" vertical="center"/>
    </xf>
    <xf numFmtId="0" fontId="23" fillId="0" borderId="0" xfId="0" applyFont="1" applyBorder="1" applyAlignment="1">
      <alignment vertical="center"/>
    </xf>
    <xf numFmtId="0" fontId="23" fillId="8" borderId="0" xfId="0" applyFont="1" applyFill="1" applyBorder="1" applyAlignment="1">
      <alignment horizontal="center" vertical="center" wrapText="1"/>
    </xf>
    <xf numFmtId="0" fontId="23" fillId="8" borderId="0" xfId="0" applyFont="1" applyFill="1" applyBorder="1" applyAlignment="1">
      <alignment horizontal="center" vertical="center"/>
    </xf>
    <xf numFmtId="0" fontId="0" fillId="0" borderId="0" xfId="0" applyAlignment="1">
      <alignment wrapText="1"/>
    </xf>
    <xf numFmtId="1" fontId="1" fillId="0" borderId="0" xfId="284" applyNumberFormat="1" applyFont="1" applyFill="1" applyAlignment="1"/>
    <xf numFmtId="0" fontId="0" fillId="0" borderId="0" xfId="0" applyFill="1"/>
    <xf numFmtId="0" fontId="23" fillId="7" borderId="0" xfId="284" applyFont="1" applyFill="1" applyAlignment="1">
      <alignment wrapText="1"/>
    </xf>
    <xf numFmtId="0" fontId="1" fillId="0" borderId="0" xfId="284" applyFont="1" applyFill="1" applyAlignment="1">
      <alignment wrapText="1"/>
    </xf>
    <xf numFmtId="0" fontId="23" fillId="6" borderId="0" xfId="284" applyFont="1" applyFill="1" applyAlignment="1">
      <alignment wrapText="1"/>
    </xf>
    <xf numFmtId="0" fontId="1" fillId="0" borderId="0" xfId="284" applyFont="1" applyAlignment="1">
      <alignment wrapText="1"/>
    </xf>
    <xf numFmtId="0" fontId="24" fillId="0" borderId="0" xfId="284" applyFont="1" applyAlignment="1">
      <alignment wrapText="1"/>
    </xf>
    <xf numFmtId="0" fontId="1" fillId="2" borderId="0" xfId="284" applyFont="1" applyFill="1" applyAlignment="1">
      <alignment wrapText="1"/>
    </xf>
    <xf numFmtId="0" fontId="23" fillId="0" borderId="0" xfId="284" applyFont="1" applyFill="1" applyBorder="1" applyAlignment="1">
      <alignment horizontal="center" wrapText="1"/>
    </xf>
    <xf numFmtId="0" fontId="14" fillId="0" borderId="0" xfId="0" applyFont="1" applyBorder="1" applyAlignment="1">
      <alignment horizontal="center" vertical="center" wrapText="1"/>
    </xf>
    <xf numFmtId="0" fontId="27" fillId="0" borderId="0" xfId="0" applyFont="1"/>
    <xf numFmtId="0" fontId="28" fillId="0" borderId="0" xfId="0" applyFont="1"/>
    <xf numFmtId="0" fontId="14"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xf>
    <xf numFmtId="0" fontId="0" fillId="0" borderId="0" xfId="0" applyAlignment="1">
      <alignment horizontal="left" indent="2"/>
    </xf>
    <xf numFmtId="0" fontId="0" fillId="0" borderId="0" xfId="0" pivotButton="1" applyAlignment="1">
      <alignment horizontal="center"/>
    </xf>
    <xf numFmtId="0" fontId="0" fillId="0" borderId="0" xfId="0" applyAlignment="1">
      <alignment horizontal="center"/>
    </xf>
    <xf numFmtId="0" fontId="0" fillId="0" borderId="0" xfId="0" applyNumberFormat="1" applyAlignment="1">
      <alignment horizont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30" fillId="0" borderId="0" xfId="0" applyFont="1" applyAlignment="1">
      <alignment wrapText="1"/>
    </xf>
    <xf numFmtId="0" fontId="30" fillId="0" borderId="0" xfId="0" applyFont="1"/>
    <xf numFmtId="0" fontId="28"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wrapText="1"/>
    </xf>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center" wrapText="1"/>
    </xf>
    <xf numFmtId="0" fontId="31" fillId="0" borderId="0" xfId="0" applyFont="1" applyAlignment="1">
      <alignment vertical="center" wrapText="1"/>
    </xf>
    <xf numFmtId="0" fontId="32" fillId="0" borderId="0" xfId="0" applyFont="1" applyAlignment="1">
      <alignment wrapText="1"/>
    </xf>
    <xf numFmtId="1" fontId="16" fillId="0" borderId="0" xfId="0" applyNumberFormat="1" applyFont="1" applyAlignment="1">
      <alignment horizontal="center" vertical="center"/>
    </xf>
    <xf numFmtId="2"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0" fontId="23" fillId="0" borderId="0" xfId="0" applyFont="1" applyAlignment="1">
      <alignment horizontal="left" vertical="center" wrapText="1"/>
    </xf>
    <xf numFmtId="0" fontId="34" fillId="0" borderId="0" xfId="0" applyFont="1" applyAlignment="1">
      <alignment wrapText="1"/>
    </xf>
    <xf numFmtId="1" fontId="23" fillId="0" borderId="0" xfId="0" applyNumberFormat="1" applyFont="1" applyAlignment="1">
      <alignment horizontal="center" vertical="center" wrapText="1"/>
    </xf>
    <xf numFmtId="44" fontId="23" fillId="0" borderId="0" xfId="1019" applyFont="1" applyAlignment="1">
      <alignment horizontal="center" vertical="center" wrapText="1"/>
    </xf>
    <xf numFmtId="44" fontId="1" fillId="0" borderId="0" xfId="1019" applyFont="1" applyAlignment="1">
      <alignment horizontal="center" vertical="center" wrapText="1"/>
    </xf>
    <xf numFmtId="44" fontId="0" fillId="0" borderId="0" xfId="1019" applyFont="1" applyAlignment="1">
      <alignment wrapText="1"/>
    </xf>
    <xf numFmtId="44" fontId="1" fillId="0" borderId="0" xfId="0" applyNumberFormat="1" applyFont="1" applyAlignment="1">
      <alignment horizontal="center" vertical="center" wrapText="1"/>
    </xf>
    <xf numFmtId="0" fontId="37" fillId="0" borderId="0" xfId="0" applyFont="1" applyAlignment="1">
      <alignment horizontal="left" vertical="center" wrapText="1"/>
    </xf>
    <xf numFmtId="1" fontId="1" fillId="0" borderId="0" xfId="1019" applyNumberFormat="1" applyFont="1" applyAlignment="1">
      <alignment horizontal="center" vertical="center" wrapText="1"/>
    </xf>
    <xf numFmtId="1" fontId="0" fillId="0" borderId="0" xfId="0" applyNumberFormat="1" applyAlignment="1">
      <alignment wrapText="1"/>
    </xf>
    <xf numFmtId="1" fontId="14" fillId="0" borderId="0" xfId="1019" applyNumberFormat="1" applyFont="1" applyAlignment="1">
      <alignment horizontal="center" vertical="center" wrapText="1"/>
    </xf>
    <xf numFmtId="0" fontId="37" fillId="0" borderId="0" xfId="0" applyFont="1" applyAlignment="1">
      <alignment vertical="center" wrapText="1"/>
    </xf>
    <xf numFmtId="44" fontId="0" fillId="0" borderId="0" xfId="0" applyNumberFormat="1" applyAlignment="1">
      <alignment wrapText="1"/>
    </xf>
    <xf numFmtId="44" fontId="35" fillId="0" borderId="0" xfId="0" applyNumberFormat="1" applyFont="1" applyAlignment="1">
      <alignment wrapText="1"/>
    </xf>
    <xf numFmtId="0" fontId="0" fillId="0" borderId="0" xfId="0" applyAlignment="1">
      <alignment horizontal="center" vertical="center"/>
    </xf>
    <xf numFmtId="166" fontId="0" fillId="0" borderId="0" xfId="0" applyNumberFormat="1" applyAlignment="1">
      <alignment horizontal="center" vertical="center"/>
    </xf>
    <xf numFmtId="166" fontId="0" fillId="0" borderId="0" xfId="0" applyNumberFormat="1"/>
    <xf numFmtId="14" fontId="1" fillId="0" borderId="0" xfId="0" applyNumberFormat="1" applyFont="1" applyAlignment="1">
      <alignment horizontal="center" vertical="center" wrapText="1"/>
    </xf>
    <xf numFmtId="0" fontId="31" fillId="0" borderId="0" xfId="0" applyFont="1" applyAlignment="1">
      <alignment horizontal="center" vertical="center" wrapText="1"/>
    </xf>
    <xf numFmtId="166" fontId="35" fillId="0" borderId="0" xfId="0" applyNumberFormat="1" applyFont="1" applyAlignment="1">
      <alignment horizontal="center" vertical="center"/>
    </xf>
    <xf numFmtId="14" fontId="39"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44" fontId="16" fillId="0" borderId="0" xfId="1019" applyFont="1" applyAlignment="1">
      <alignment horizontal="center" vertical="center" wrapText="1"/>
    </xf>
    <xf numFmtId="44" fontId="16" fillId="0" borderId="0" xfId="0" applyNumberFormat="1" applyFont="1" applyAlignment="1">
      <alignment horizontal="center" vertical="center" wrapText="1"/>
    </xf>
    <xf numFmtId="0" fontId="22" fillId="0" borderId="0" xfId="1008" applyFont="1" applyAlignment="1">
      <alignment horizontal="left" vertical="center" wrapText="1"/>
    </xf>
    <xf numFmtId="0" fontId="41" fillId="0" borderId="0" xfId="0" applyFont="1" applyAlignment="1">
      <alignment wrapText="1"/>
    </xf>
    <xf numFmtId="0" fontId="0" fillId="0" borderId="0" xfId="0" applyFont="1" applyAlignment="1">
      <alignment wrapText="1"/>
    </xf>
    <xf numFmtId="166" fontId="38" fillId="0" borderId="0" xfId="0" applyNumberFormat="1" applyFont="1" applyAlignment="1">
      <alignment wrapText="1"/>
    </xf>
    <xf numFmtId="0" fontId="0" fillId="0" borderId="0" xfId="0" pivotButton="1"/>
    <xf numFmtId="0" fontId="0" fillId="0" borderId="0" xfId="0" applyAlignment="1">
      <alignment horizontal="left" indent="1"/>
    </xf>
    <xf numFmtId="0" fontId="0" fillId="0" borderId="0" xfId="0" applyNumberFormat="1"/>
    <xf numFmtId="0" fontId="41" fillId="0" borderId="0" xfId="0" applyFont="1" applyAlignment="1">
      <alignment horizontal="left" indent="1"/>
    </xf>
    <xf numFmtId="0" fontId="41" fillId="0" borderId="0" xfId="0" applyNumberFormat="1" applyFont="1"/>
    <xf numFmtId="0" fontId="42" fillId="0" borderId="0" xfId="0" applyFont="1" applyAlignment="1">
      <alignment horizontal="left" indent="1"/>
    </xf>
    <xf numFmtId="0" fontId="42" fillId="0" borderId="0" xfId="0" applyNumberFormat="1" applyFont="1"/>
    <xf numFmtId="0" fontId="42" fillId="0" borderId="0" xfId="0" applyFont="1" applyAlignment="1">
      <alignment horizontal="left" indent="4"/>
    </xf>
    <xf numFmtId="0" fontId="42" fillId="0" borderId="0" xfId="0" applyNumberFormat="1" applyFont="1" applyAlignment="1">
      <alignment horizontal="center"/>
    </xf>
    <xf numFmtId="0" fontId="43" fillId="0" borderId="0" xfId="0" applyFont="1" applyAlignment="1">
      <alignment horizontal="center" vertical="center" wrapText="1"/>
    </xf>
    <xf numFmtId="0" fontId="43" fillId="0" borderId="0" xfId="0" applyFont="1" applyAlignment="1">
      <alignment horizontal="left" vertical="center" wrapText="1"/>
    </xf>
    <xf numFmtId="44" fontId="43" fillId="0" borderId="0" xfId="1019" applyFont="1" applyAlignment="1">
      <alignment horizontal="center" vertical="center" wrapText="1"/>
    </xf>
    <xf numFmtId="44" fontId="43" fillId="0" borderId="0" xfId="0" applyNumberFormat="1" applyFont="1" applyAlignment="1">
      <alignment horizontal="center" vertical="center" wrapText="1"/>
    </xf>
    <xf numFmtId="1" fontId="43" fillId="0" borderId="0" xfId="0" applyNumberFormat="1" applyFont="1" applyAlignment="1">
      <alignment horizontal="center" vertical="center" wrapText="1"/>
    </xf>
    <xf numFmtId="0" fontId="44" fillId="0" borderId="0" xfId="0" applyFont="1" applyAlignment="1">
      <alignment wrapText="1"/>
    </xf>
    <xf numFmtId="0" fontId="0" fillId="0" borderId="0" xfId="0" applyAlignment="1">
      <alignment horizontal="left" indent="4"/>
    </xf>
    <xf numFmtId="0" fontId="42" fillId="0" borderId="0" xfId="0" applyFont="1" applyAlignment="1">
      <alignment horizontal="left" wrapText="1" indent="4"/>
    </xf>
    <xf numFmtId="164" fontId="16" fillId="0" borderId="0" xfId="0" applyNumberFormat="1" applyFont="1" applyFill="1" applyBorder="1" applyAlignment="1">
      <alignment horizontal="left" vertical="center"/>
    </xf>
    <xf numFmtId="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Alignment="1">
      <alignment horizontal="center" vertical="center"/>
    </xf>
    <xf numFmtId="0" fontId="16" fillId="0" borderId="0" xfId="0" applyFont="1" applyFill="1" applyAlignment="1">
      <alignment vertical="center" wrapText="1"/>
    </xf>
    <xf numFmtId="0" fontId="16" fillId="0" borderId="0" xfId="0" applyFont="1" applyFill="1" applyAlignment="1">
      <alignment vertical="center"/>
    </xf>
    <xf numFmtId="0" fontId="23" fillId="0" borderId="0" xfId="284" applyFont="1" applyFill="1" applyBorder="1" applyAlignment="1">
      <alignment horizontal="center" wrapText="1"/>
    </xf>
    <xf numFmtId="0" fontId="30" fillId="0" borderId="0" xfId="0" applyFont="1" applyAlignment="1">
      <alignment horizontal="center"/>
    </xf>
    <xf numFmtId="0" fontId="23" fillId="0" borderId="0" xfId="284" applyFont="1" applyFill="1" applyBorder="1" applyAlignment="1">
      <alignment horizontal="center"/>
    </xf>
    <xf numFmtId="0" fontId="23" fillId="0" borderId="0" xfId="284" applyFont="1" applyFill="1" applyBorder="1" applyAlignment="1">
      <alignment wrapText="1"/>
    </xf>
    <xf numFmtId="0" fontId="24" fillId="0" borderId="0" xfId="284" applyFont="1" applyFill="1" applyBorder="1" applyAlignment="1">
      <alignment horizontal="left" vertical="center" wrapText="1"/>
    </xf>
    <xf numFmtId="0" fontId="17" fillId="0" borderId="0" xfId="0" applyFont="1" applyBorder="1" applyAlignment="1">
      <alignment horizontal="left" vertical="center" wrapText="1"/>
    </xf>
    <xf numFmtId="0" fontId="45" fillId="0" borderId="0" xfId="284" applyFont="1" applyFill="1" applyBorder="1" applyAlignment="1">
      <alignment horizontal="center" vertical="center" wrapText="1"/>
    </xf>
    <xf numFmtId="0" fontId="45" fillId="0" borderId="0" xfId="284" applyFont="1" applyFill="1" applyBorder="1" applyAlignment="1">
      <alignment vertical="center" wrapText="1"/>
    </xf>
    <xf numFmtId="0" fontId="20" fillId="0" borderId="0" xfId="284" applyFont="1" applyFill="1" applyBorder="1" applyAlignment="1">
      <alignment horizontal="center" vertical="center"/>
    </xf>
    <xf numFmtId="0" fontId="20" fillId="0" borderId="2" xfId="0" applyFont="1" applyBorder="1" applyAlignment="1">
      <alignment horizontal="center" vertical="center"/>
    </xf>
    <xf numFmtId="0" fontId="17" fillId="0" borderId="2" xfId="0" applyFont="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vertical="center"/>
    </xf>
    <xf numFmtId="0" fontId="24" fillId="0" borderId="2" xfId="0" applyFont="1" applyBorder="1" applyAlignment="1">
      <alignment horizontal="center" vertical="center"/>
    </xf>
    <xf numFmtId="0" fontId="14" fillId="0" borderId="2" xfId="0" applyFont="1" applyBorder="1" applyAlignment="1">
      <alignment horizontal="center" vertical="center" wrapText="1"/>
    </xf>
    <xf numFmtId="0" fontId="27" fillId="0" borderId="2" xfId="0" applyFont="1" applyBorder="1" applyAlignment="1">
      <alignment vertical="center" wrapText="1"/>
    </xf>
    <xf numFmtId="0" fontId="27" fillId="0" borderId="2" xfId="0" applyFont="1" applyBorder="1" applyAlignment="1">
      <alignment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vertical="center"/>
    </xf>
    <xf numFmtId="0" fontId="14" fillId="0" borderId="2" xfId="0" applyFont="1" applyBorder="1" applyAlignment="1">
      <alignment horizontal="center" vertical="center"/>
    </xf>
    <xf numFmtId="1" fontId="28" fillId="0" borderId="2" xfId="0" applyNumberFormat="1" applyFont="1" applyBorder="1" applyAlignment="1">
      <alignment horizontal="center" vertical="center"/>
    </xf>
    <xf numFmtId="1" fontId="27" fillId="0" borderId="2" xfId="0" applyNumberFormat="1" applyFont="1" applyBorder="1" applyAlignment="1">
      <alignment horizontal="center" vertical="center"/>
    </xf>
    <xf numFmtId="1" fontId="0" fillId="0" borderId="2" xfId="0" applyNumberFormat="1" applyBorder="1" applyAlignment="1">
      <alignment horizontal="center" vertical="center"/>
    </xf>
    <xf numFmtId="0" fontId="45" fillId="0" borderId="0" xfId="284" applyFont="1" applyFill="1" applyBorder="1" applyAlignment="1">
      <alignment horizontal="center" vertical="center" wrapText="1"/>
    </xf>
    <xf numFmtId="0" fontId="23" fillId="0" borderId="0" xfId="284" applyFont="1" applyFill="1" applyBorder="1" applyAlignment="1">
      <alignment horizontal="center" vertical="center"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30" fillId="0" borderId="2" xfId="0" applyFont="1" applyBorder="1" applyAlignment="1">
      <alignment vertical="center" wrapText="1"/>
    </xf>
    <xf numFmtId="1" fontId="30" fillId="0" borderId="2" xfId="0" applyNumberFormat="1" applyFont="1" applyBorder="1" applyAlignment="1">
      <alignment horizontal="center" vertical="center"/>
    </xf>
    <xf numFmtId="0" fontId="29" fillId="0" borderId="2" xfId="0" applyFont="1" applyBorder="1" applyAlignment="1">
      <alignment horizontal="right" vertical="center" wrapText="1"/>
    </xf>
    <xf numFmtId="0" fontId="30" fillId="0" borderId="2" xfId="0" applyFont="1" applyBorder="1" applyAlignment="1">
      <alignment vertical="center"/>
    </xf>
    <xf numFmtId="0" fontId="29" fillId="0" borderId="0" xfId="0" applyFont="1" applyBorder="1" applyAlignment="1">
      <alignment horizontal="right" vertical="center" wrapText="1"/>
    </xf>
    <xf numFmtId="0" fontId="27" fillId="0" borderId="0" xfId="0" applyFont="1" applyAlignment="1">
      <alignment horizontal="center"/>
    </xf>
    <xf numFmtId="0" fontId="47" fillId="0" borderId="2" xfId="0" applyFont="1" applyBorder="1" applyAlignment="1">
      <alignment horizontal="center" vertical="center"/>
    </xf>
    <xf numFmtId="0" fontId="47" fillId="0" borderId="2" xfId="0" applyFont="1" applyBorder="1" applyAlignment="1">
      <alignment horizontal="center" vertical="center" wrapText="1"/>
    </xf>
    <xf numFmtId="0" fontId="48" fillId="0" borderId="2" xfId="0" applyFont="1" applyBorder="1" applyAlignment="1">
      <alignment vertical="center"/>
    </xf>
    <xf numFmtId="1" fontId="48" fillId="0" borderId="2" xfId="0" applyNumberFormat="1" applyFont="1" applyBorder="1" applyAlignment="1">
      <alignment horizontal="center" vertical="center"/>
    </xf>
    <xf numFmtId="0" fontId="21" fillId="0" borderId="3" xfId="0" applyFont="1" applyBorder="1" applyAlignment="1">
      <alignment horizontal="center" vertical="center" wrapText="1"/>
    </xf>
    <xf numFmtId="164" fontId="21" fillId="0" borderId="3" xfId="0" applyNumberFormat="1" applyFont="1" applyBorder="1" applyAlignment="1">
      <alignment horizontal="center" vertical="center" wrapText="1"/>
    </xf>
    <xf numFmtId="0" fontId="21" fillId="0" borderId="3" xfId="0" applyFont="1" applyBorder="1" applyAlignment="1">
      <alignment vertical="center" wrapText="1"/>
    </xf>
    <xf numFmtId="166" fontId="21" fillId="0" borderId="3" xfId="0" applyNumberFormat="1" applyFont="1" applyBorder="1" applyAlignment="1">
      <alignment horizontal="center" vertical="center" wrapText="1"/>
    </xf>
    <xf numFmtId="49" fontId="21"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164" fontId="16" fillId="0" borderId="3" xfId="0" applyNumberFormat="1" applyFont="1" applyBorder="1" applyAlignment="1">
      <alignment horizontal="center" vertical="center" wrapText="1"/>
    </xf>
    <xf numFmtId="0" fontId="16" fillId="0" borderId="3" xfId="0" applyFont="1" applyBorder="1" applyAlignment="1">
      <alignment vertical="center" wrapText="1"/>
    </xf>
    <xf numFmtId="166" fontId="24" fillId="0" borderId="3"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24" fillId="0" borderId="3" xfId="0" applyFont="1" applyBorder="1" applyAlignment="1">
      <alignment horizontal="center" vertical="center" wrapText="1"/>
    </xf>
    <xf numFmtId="164" fontId="24" fillId="0" borderId="3" xfId="0" applyNumberFormat="1" applyFont="1" applyBorder="1" applyAlignment="1">
      <alignment horizontal="center" vertical="center" wrapText="1"/>
    </xf>
    <xf numFmtId="166" fontId="16"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46" fillId="0" borderId="3" xfId="0" applyNumberFormat="1" applyFont="1" applyFill="1" applyBorder="1" applyAlignment="1">
      <alignment horizontal="center" vertical="center" wrapText="1"/>
    </xf>
    <xf numFmtId="14" fontId="16" fillId="0" borderId="3" xfId="0" applyNumberFormat="1" applyFont="1" applyFill="1" applyBorder="1" applyAlignment="1">
      <alignment horizontal="center" vertical="center" wrapText="1"/>
    </xf>
    <xf numFmtId="0" fontId="16" fillId="0" borderId="3" xfId="0" applyFont="1" applyFill="1" applyBorder="1" applyAlignment="1">
      <alignment vertical="center" wrapText="1"/>
    </xf>
    <xf numFmtId="0" fontId="40" fillId="0" borderId="3" xfId="1008" applyFont="1" applyFill="1" applyBorder="1" applyAlignment="1">
      <alignment horizontal="center" vertical="center" wrapText="1"/>
    </xf>
    <xf numFmtId="166" fontId="16" fillId="0" borderId="3" xfId="0" applyNumberFormat="1" applyFont="1" applyFill="1" applyBorder="1" applyAlignment="1">
      <alignment horizontal="center" vertical="center" wrapText="1"/>
    </xf>
    <xf numFmtId="0" fontId="40" fillId="0" borderId="3" xfId="1008" applyFont="1" applyFill="1" applyBorder="1" applyAlignment="1">
      <alignment vertical="center" wrapText="1"/>
    </xf>
    <xf numFmtId="49" fontId="10" fillId="0" borderId="3" xfId="1008" applyNumberForma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0" fontId="10" fillId="0" borderId="3" xfId="1008" applyFill="1" applyBorder="1" applyAlignment="1">
      <alignment horizontal="center" vertical="center" wrapText="1"/>
    </xf>
    <xf numFmtId="0" fontId="24" fillId="0" borderId="3" xfId="0" applyFont="1" applyFill="1" applyBorder="1" applyAlignment="1">
      <alignment horizontal="center" vertical="center" wrapText="1"/>
    </xf>
    <xf numFmtId="166" fontId="17" fillId="0" borderId="3" xfId="0" applyNumberFormat="1"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44" fontId="24" fillId="2" borderId="0" xfId="1019" applyFont="1" applyFill="1" applyAlignment="1">
      <alignment horizontal="center" vertical="center" wrapText="1"/>
    </xf>
    <xf numFmtId="44" fontId="24" fillId="2" borderId="0" xfId="0" applyNumberFormat="1" applyFont="1" applyFill="1" applyAlignment="1">
      <alignment horizontal="center" vertical="center" wrapText="1"/>
    </xf>
    <xf numFmtId="0" fontId="36" fillId="2" borderId="0" xfId="1008" applyFont="1" applyFill="1" applyAlignment="1">
      <alignment horizontal="left" vertical="center" wrapText="1"/>
    </xf>
    <xf numFmtId="14" fontId="24" fillId="2" borderId="0" xfId="0" applyNumberFormat="1" applyFont="1" applyFill="1" applyAlignment="1">
      <alignment horizontal="center" vertical="center" wrapText="1"/>
    </xf>
    <xf numFmtId="1" fontId="24" fillId="2" borderId="0" xfId="0" applyNumberFormat="1" applyFont="1" applyFill="1" applyAlignment="1">
      <alignment horizontal="center" vertical="center" wrapText="1"/>
    </xf>
    <xf numFmtId="1" fontId="24" fillId="2" borderId="0" xfId="1019" applyNumberFormat="1" applyFont="1" applyFill="1" applyAlignment="1">
      <alignment horizontal="center" vertical="center" wrapText="1"/>
    </xf>
    <xf numFmtId="0" fontId="42" fillId="0" borderId="0" xfId="0" applyFont="1"/>
    <xf numFmtId="0" fontId="1" fillId="0" borderId="0" xfId="0" applyFont="1" applyFill="1" applyAlignment="1">
      <alignment vertical="center" wrapText="1"/>
    </xf>
    <xf numFmtId="0" fontId="41" fillId="0" borderId="0" xfId="0" applyFont="1"/>
    <xf numFmtId="0" fontId="1" fillId="2" borderId="0" xfId="0" applyFont="1" applyFill="1" applyAlignment="1">
      <alignment vertical="center" wrapText="1"/>
    </xf>
    <xf numFmtId="165" fontId="24" fillId="0" borderId="0" xfId="0" applyNumberFormat="1" applyFont="1" applyAlignment="1">
      <alignment horizontal="center" vertical="center" wrapText="1"/>
    </xf>
    <xf numFmtId="0" fontId="0" fillId="0" borderId="0" xfId="0" applyAlignment="1">
      <alignment horizontal="right"/>
    </xf>
    <xf numFmtId="0" fontId="16" fillId="0" borderId="0" xfId="0" applyFont="1" applyAlignment="1">
      <alignment wrapText="1"/>
    </xf>
    <xf numFmtId="0" fontId="16" fillId="0" borderId="0" xfId="0" applyFont="1" applyAlignment="1">
      <alignment horizontal="center"/>
    </xf>
    <xf numFmtId="0" fontId="16" fillId="0" borderId="0" xfId="0" applyFont="1"/>
    <xf numFmtId="0" fontId="16" fillId="0" borderId="0" xfId="0" applyFont="1" applyAlignment="1"/>
    <xf numFmtId="0" fontId="16" fillId="0" borderId="0" xfId="0" applyFont="1" applyAlignment="1">
      <alignment horizontal="center"/>
    </xf>
    <xf numFmtId="0" fontId="53" fillId="0" borderId="0" xfId="0" applyFont="1" applyAlignment="1">
      <alignment wrapText="1"/>
    </xf>
    <xf numFmtId="0" fontId="53" fillId="0" borderId="0" xfId="0" applyFont="1" applyAlignment="1">
      <alignment horizontal="center" vertical="center"/>
    </xf>
    <xf numFmtId="0" fontId="53" fillId="0" borderId="0" xfId="0" applyFont="1" applyAlignment="1">
      <alignment horizontal="center"/>
    </xf>
    <xf numFmtId="0" fontId="53" fillId="0" borderId="0" xfId="0" applyFont="1"/>
    <xf numFmtId="0" fontId="53" fillId="0" borderId="0" xfId="0" applyFont="1" applyAlignment="1"/>
    <xf numFmtId="0" fontId="15" fillId="0" borderId="0" xfId="0" applyFont="1" applyAlignment="1">
      <alignment wrapText="1"/>
    </xf>
    <xf numFmtId="0" fontId="15" fillId="0" borderId="0" xfId="0" applyFont="1" applyAlignment="1">
      <alignment horizontal="center" vertical="center"/>
    </xf>
    <xf numFmtId="0" fontId="15" fillId="0" borderId="0" xfId="0" applyFont="1" applyAlignment="1">
      <alignment horizontal="center"/>
    </xf>
    <xf numFmtId="0" fontId="15" fillId="0" borderId="0" xfId="0" applyFont="1"/>
    <xf numFmtId="0" fontId="15" fillId="0" borderId="0" xfId="0" applyFont="1" applyAlignment="1"/>
    <xf numFmtId="0" fontId="54" fillId="0" borderId="0" xfId="1008" applyFont="1"/>
    <xf numFmtId="0" fontId="15" fillId="0" borderId="0" xfId="0" applyFont="1" applyBorder="1" applyAlignment="1">
      <alignment horizontal="center"/>
    </xf>
    <xf numFmtId="0" fontId="55" fillId="0" borderId="0" xfId="1008" applyFont="1"/>
    <xf numFmtId="0" fontId="17" fillId="0" borderId="0" xfId="0" applyFont="1"/>
    <xf numFmtId="0" fontId="53" fillId="0" borderId="0" xfId="1008" applyFont="1"/>
    <xf numFmtId="0" fontId="56" fillId="0" borderId="0" xfId="0" applyFont="1"/>
    <xf numFmtId="0" fontId="26" fillId="0" borderId="0" xfId="1008" applyFont="1" applyAlignment="1">
      <alignment wrapText="1"/>
    </xf>
    <xf numFmtId="0" fontId="55" fillId="0" borderId="0" xfId="1008" applyFont="1" applyAlignment="1">
      <alignment wrapText="1"/>
    </xf>
    <xf numFmtId="0" fontId="57" fillId="0" borderId="0" xfId="0" applyFont="1"/>
    <xf numFmtId="0" fontId="14" fillId="0" borderId="0" xfId="0" applyFont="1" applyAlignment="1">
      <alignment wrapText="1"/>
    </xf>
    <xf numFmtId="0" fontId="14" fillId="0" borderId="0" xfId="0" applyFont="1" applyAlignment="1">
      <alignment horizontal="center"/>
    </xf>
    <xf numFmtId="0" fontId="14" fillId="0" borderId="0" xfId="0" applyFont="1"/>
    <xf numFmtId="0" fontId="14" fillId="0" borderId="0" xfId="0" applyFont="1" applyAlignment="1"/>
    <xf numFmtId="0" fontId="58" fillId="0" borderId="0" xfId="1008" applyFont="1" applyAlignment="1">
      <alignment wrapText="1"/>
    </xf>
    <xf numFmtId="0" fontId="15" fillId="0" borderId="0" xfId="0" applyFont="1" applyAlignment="1">
      <alignment vertical="center" wrapText="1"/>
    </xf>
    <xf numFmtId="0" fontId="15" fillId="0" borderId="0" xfId="0" applyFont="1" applyAlignment="1">
      <alignment vertical="center"/>
    </xf>
    <xf numFmtId="1" fontId="53" fillId="0" borderId="0" xfId="0" applyNumberFormat="1" applyFont="1" applyAlignment="1">
      <alignment horizontal="center"/>
    </xf>
    <xf numFmtId="2" fontId="53" fillId="0" borderId="0" xfId="0" applyNumberFormat="1" applyFont="1" applyAlignment="1">
      <alignment horizontal="center"/>
    </xf>
    <xf numFmtId="0" fontId="58" fillId="0" borderId="0" xfId="1008" applyFont="1"/>
    <xf numFmtId="0" fontId="26" fillId="0" borderId="0" xfId="1008" applyFont="1"/>
    <xf numFmtId="0" fontId="56" fillId="0" borderId="0" xfId="0" applyFont="1" applyAlignment="1">
      <alignment horizontal="center"/>
    </xf>
    <xf numFmtId="0" fontId="53" fillId="0" borderId="0" xfId="0" applyFont="1" applyBorder="1" applyAlignment="1">
      <alignment horizontal="center"/>
    </xf>
    <xf numFmtId="0" fontId="40" fillId="0" borderId="0" xfId="1008" applyFont="1"/>
    <xf numFmtId="0" fontId="56" fillId="0" borderId="0" xfId="0" applyFont="1" applyAlignment="1">
      <alignment wrapText="1"/>
    </xf>
    <xf numFmtId="0" fontId="56" fillId="0" borderId="0" xfId="0" applyFont="1" applyAlignment="1">
      <alignment horizontal="center" vertical="center"/>
    </xf>
    <xf numFmtId="0" fontId="56" fillId="0" borderId="0" xfId="0" applyFont="1" applyAlignment="1"/>
    <xf numFmtId="0" fontId="59" fillId="0" borderId="0" xfId="1008" applyFont="1" applyAlignment="1">
      <alignment wrapText="1"/>
    </xf>
    <xf numFmtId="0" fontId="16" fillId="0" borderId="0" xfId="0" applyFont="1" applyAlignment="1">
      <alignment vertical="center"/>
    </xf>
    <xf numFmtId="0" fontId="17" fillId="0" borderId="0" xfId="0" applyFont="1" applyAlignment="1">
      <alignment horizontal="center"/>
    </xf>
    <xf numFmtId="0" fontId="16" fillId="0" borderId="0" xfId="0" applyFont="1" applyBorder="1" applyAlignment="1">
      <alignment horizontal="center"/>
    </xf>
    <xf numFmtId="0" fontId="16" fillId="0" borderId="0" xfId="1008" applyFont="1"/>
    <xf numFmtId="0" fontId="59" fillId="0" borderId="0" xfId="1008" applyFont="1"/>
    <xf numFmtId="0" fontId="40" fillId="0" borderId="0" xfId="1008" applyFont="1" applyAlignment="1">
      <alignment wrapText="1"/>
    </xf>
    <xf numFmtId="0" fontId="16" fillId="0" borderId="7" xfId="0" applyFont="1" applyBorder="1" applyAlignment="1">
      <alignment horizontal="center"/>
    </xf>
    <xf numFmtId="0" fontId="16" fillId="0" borderId="8" xfId="0" applyFont="1" applyBorder="1" applyAlignment="1">
      <alignment wrapText="1"/>
    </xf>
    <xf numFmtId="0" fontId="16" fillId="0" borderId="8" xfId="0" applyFont="1" applyBorder="1" applyAlignment="1">
      <alignment horizontal="center" vertical="center"/>
    </xf>
    <xf numFmtId="0" fontId="16" fillId="0" borderId="8" xfId="0" applyFont="1" applyBorder="1" applyAlignment="1">
      <alignment horizontal="center"/>
    </xf>
    <xf numFmtId="0" fontId="16" fillId="0" borderId="8" xfId="0" applyFont="1" applyBorder="1"/>
    <xf numFmtId="0" fontId="16" fillId="0" borderId="8" xfId="0" applyFont="1" applyBorder="1" applyAlignment="1"/>
    <xf numFmtId="0" fontId="16" fillId="0" borderId="0" xfId="0" applyFont="1" applyBorder="1" applyAlignment="1">
      <alignment wrapText="1"/>
    </xf>
    <xf numFmtId="0" fontId="16" fillId="0" borderId="0" xfId="0" applyFont="1" applyBorder="1"/>
    <xf numFmtId="0" fontId="16" fillId="0" borderId="0" xfId="0" applyFont="1" applyBorder="1" applyAlignment="1"/>
    <xf numFmtId="2" fontId="21" fillId="0" borderId="0" xfId="0" applyNumberFormat="1" applyFont="1" applyBorder="1" applyAlignment="1">
      <alignment horizontal="center"/>
    </xf>
    <xf numFmtId="2" fontId="16" fillId="0" borderId="0" xfId="0" applyNumberFormat="1" applyFont="1" applyAlignment="1">
      <alignment horizontal="center"/>
    </xf>
    <xf numFmtId="0" fontId="24" fillId="0" borderId="0" xfId="0" applyFont="1" applyAlignment="1">
      <alignment wrapText="1"/>
    </xf>
    <xf numFmtId="12" fontId="16" fillId="0" borderId="0" xfId="0" applyNumberFormat="1" applyFont="1" applyAlignment="1">
      <alignment horizontal="center"/>
    </xf>
    <xf numFmtId="0" fontId="0" fillId="0" borderId="0" xfId="0" applyAlignment="1">
      <alignment vertical="center"/>
    </xf>
    <xf numFmtId="168" fontId="0" fillId="0" borderId="0" xfId="0" applyNumberFormat="1" applyAlignment="1">
      <alignment horizontal="center" vertical="center"/>
    </xf>
    <xf numFmtId="2" fontId="0" fillId="0" borderId="0" xfId="0" applyNumberFormat="1" applyAlignment="1">
      <alignment horizontal="center" vertical="center"/>
    </xf>
    <xf numFmtId="168" fontId="0" fillId="0" borderId="0" xfId="0" applyNumberFormat="1" applyAlignment="1">
      <alignment horizontal="center" vertical="center" wrapText="1"/>
    </xf>
    <xf numFmtId="2" fontId="0" fillId="0" borderId="0" xfId="0" applyNumberFormat="1" applyAlignment="1">
      <alignment horizontal="center" vertical="center" wrapText="1"/>
    </xf>
    <xf numFmtId="10" fontId="0" fillId="0" borderId="0" xfId="0" applyNumberFormat="1" applyAlignment="1">
      <alignment horizontal="center" vertical="center"/>
    </xf>
    <xf numFmtId="10" fontId="0" fillId="0" borderId="0" xfId="0" applyNumberFormat="1"/>
    <xf numFmtId="2" fontId="0" fillId="0" borderId="0" xfId="0" applyNumberFormat="1"/>
    <xf numFmtId="0" fontId="0" fillId="0" borderId="0" xfId="0" pivotButton="1" applyAlignment="1">
      <alignment vertical="center"/>
    </xf>
    <xf numFmtId="0" fontId="0" fillId="0" borderId="0" xfId="0" pivotButton="1" applyAlignment="1">
      <alignment vertical="center" wrapText="1"/>
    </xf>
    <xf numFmtId="0" fontId="0" fillId="0" borderId="0" xfId="0" pivotButton="1" applyAlignment="1">
      <alignment horizontal="center" vertical="center" wrapText="1"/>
    </xf>
    <xf numFmtId="0" fontId="60" fillId="0" borderId="0" xfId="0" applyFont="1"/>
    <xf numFmtId="0" fontId="60" fillId="0" borderId="0" xfId="0" applyNumberFormat="1" applyFont="1"/>
    <xf numFmtId="10" fontId="60" fillId="0" borderId="0" xfId="0" applyNumberFormat="1" applyFont="1"/>
    <xf numFmtId="2" fontId="60" fillId="0" borderId="0" xfId="0" applyNumberFormat="1" applyFont="1"/>
    <xf numFmtId="0" fontId="16" fillId="0" borderId="0" xfId="0" applyFont="1" applyAlignment="1">
      <alignment horizontal="center" vertical="center"/>
    </xf>
    <xf numFmtId="0" fontId="53" fillId="0" borderId="0" xfId="0" applyFont="1" applyAlignment="1">
      <alignment vertical="center" wrapText="1"/>
    </xf>
    <xf numFmtId="0" fontId="53" fillId="0" borderId="0" xfId="0" applyFont="1" applyAlignment="1">
      <alignment horizontal="left" vertical="center" wrapText="1"/>
    </xf>
    <xf numFmtId="0" fontId="53" fillId="0" borderId="0" xfId="0" applyFont="1" applyAlignment="1">
      <alignment vertical="center"/>
    </xf>
    <xf numFmtId="0" fontId="14" fillId="0" borderId="0" xfId="0" applyFont="1" applyAlignment="1">
      <alignment vertical="center" wrapText="1"/>
    </xf>
    <xf numFmtId="0" fontId="1" fillId="0" borderId="0" xfId="0" applyFont="1" applyAlignment="1">
      <alignment vertical="center"/>
    </xf>
    <xf numFmtId="0" fontId="14" fillId="0" borderId="0" xfId="0" applyFont="1" applyAlignment="1">
      <alignment vertical="center"/>
    </xf>
    <xf numFmtId="0" fontId="15" fillId="0" borderId="0" xfId="0" applyFont="1" applyAlignment="1">
      <alignment horizontal="left" wrapText="1"/>
    </xf>
    <xf numFmtId="0" fontId="53" fillId="0" borderId="0" xfId="0" applyFont="1" applyAlignment="1">
      <alignment horizontal="left" vertical="center"/>
    </xf>
    <xf numFmtId="0" fontId="53" fillId="0" borderId="0" xfId="0" applyFont="1" applyAlignment="1">
      <alignment horizontal="left" wrapText="1"/>
    </xf>
    <xf numFmtId="0" fontId="55" fillId="0" borderId="0" xfId="1008" applyFont="1" applyAlignment="1">
      <alignment horizontal="left" vertical="center" wrapText="1"/>
    </xf>
    <xf numFmtId="0" fontId="55" fillId="0" borderId="0" xfId="1008" applyFont="1" applyAlignment="1">
      <alignment horizontal="left" wrapText="1"/>
    </xf>
    <xf numFmtId="0" fontId="14" fillId="0" borderId="0" xfId="0" applyFont="1" applyAlignment="1">
      <alignment horizontal="left"/>
    </xf>
    <xf numFmtId="0" fontId="21" fillId="0" borderId="0" xfId="0" applyFont="1"/>
    <xf numFmtId="2" fontId="21" fillId="0" borderId="0" xfId="0" applyNumberFormat="1" applyFont="1" applyAlignment="1">
      <alignment horizontal="center"/>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vertical="center"/>
    </xf>
    <xf numFmtId="164" fontId="1" fillId="9" borderId="0" xfId="0" applyNumberFormat="1" applyFont="1" applyFill="1" applyAlignment="1">
      <alignment horizontal="left" vertical="center" wrapText="1"/>
    </xf>
    <xf numFmtId="164" fontId="16" fillId="9" borderId="0" xfId="0" applyNumberFormat="1" applyFont="1" applyFill="1" applyAlignment="1">
      <alignment horizontal="left" vertical="center" wrapText="1"/>
    </xf>
    <xf numFmtId="0" fontId="16" fillId="9" borderId="4" xfId="0" applyFont="1" applyFill="1" applyBorder="1" applyAlignment="1">
      <alignment horizontal="left" vertical="center" wrapText="1"/>
    </xf>
    <xf numFmtId="0" fontId="16" fillId="9" borderId="5"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0" fillId="9" borderId="0" xfId="0" applyFill="1" applyAlignment="1">
      <alignment horizontal="left" vertical="center" wrapText="1"/>
    </xf>
    <xf numFmtId="0" fontId="0" fillId="9" borderId="0" xfId="0" applyFill="1" applyAlignment="1">
      <alignment horizontal="left" vertical="center"/>
    </xf>
    <xf numFmtId="0" fontId="1" fillId="9" borderId="0" xfId="0" applyFont="1" applyFill="1" applyAlignment="1">
      <alignment horizontal="left" vertical="center" wrapText="1"/>
    </xf>
    <xf numFmtId="0" fontId="45" fillId="0" borderId="0" xfId="284" applyFont="1" applyFill="1" applyBorder="1" applyAlignment="1">
      <alignment horizontal="center" vertical="center" wrapText="1"/>
    </xf>
    <xf numFmtId="0" fontId="16" fillId="9" borderId="0" xfId="0" applyFont="1" applyFill="1" applyBorder="1" applyAlignment="1">
      <alignment horizontal="left" vertical="center" wrapText="1"/>
    </xf>
    <xf numFmtId="0" fontId="23" fillId="0" borderId="0" xfId="284" applyFont="1" applyFill="1" applyBorder="1" applyAlignment="1">
      <alignment horizontal="center" vertical="center" wrapText="1"/>
    </xf>
    <xf numFmtId="0" fontId="32" fillId="0" borderId="0" xfId="0" applyFont="1" applyAlignment="1">
      <alignment horizontal="center" wrapText="1"/>
    </xf>
    <xf numFmtId="0" fontId="31" fillId="0" borderId="0" xfId="0" applyFont="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cellXfs>
  <cellStyles count="1020">
    <cellStyle name="Currency" xfId="101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cellStyle name="Hyperlink 2" xfId="285" xr:uid="{00000000-0005-0000-0000-0000F8030000}"/>
    <cellStyle name="Normal" xfId="0" builtinId="0"/>
    <cellStyle name="Normal 2" xfId="284" xr:uid="{00000000-0005-0000-0000-0000FA030000}"/>
  </cellStyles>
  <dxfs count="601">
    <dxf>
      <numFmt numFmtId="2" formatCode="0.00"/>
    </dxf>
    <dxf>
      <font>
        <i/>
      </font>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numFmt numFmtId="168" formatCode="0.000"/>
    </dxf>
    <dxf>
      <numFmt numFmtId="168" formatCode="0.000"/>
    </dxf>
    <dxf>
      <numFmt numFmtId="2" formatCode="0.00"/>
    </dxf>
    <dxf>
      <numFmt numFmtId="2"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FF0000"/>
      </font>
    </dxf>
    <dxf>
      <font>
        <color rgb="FFFF0000"/>
      </font>
    </dxf>
    <dxf>
      <alignment horizontal="center"/>
    </dxf>
    <dxf>
      <alignment horizontal="center"/>
    </dxf>
    <dxf>
      <alignment horizontal="center"/>
    </dxf>
    <dxf>
      <alignment wrapText="1"/>
    </dxf>
    <dxf>
      <alignment wrapText="1"/>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auto="1"/>
      </font>
    </dxf>
    <dxf>
      <font>
        <color auto="1"/>
      </font>
    </dxf>
    <dxf>
      <font>
        <color rgb="FF008000"/>
      </font>
    </dxf>
    <dxf>
      <font>
        <color rgb="FF008000"/>
      </font>
    </dxf>
    <dxf>
      <font>
        <color rgb="FF008000"/>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rgb="FF0432FF"/>
      </font>
    </dxf>
    <dxf>
      <font>
        <color auto="1"/>
      </font>
    </dxf>
    <dxf>
      <font>
        <color auto="1"/>
      </font>
    </dxf>
    <dxf>
      <font>
        <color rgb="FF008000"/>
      </font>
    </dxf>
    <dxf>
      <font>
        <color rgb="FF008000"/>
      </font>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color theme="0"/>
      </font>
      <fill>
        <patternFill patternType="solid">
          <fgColor theme="4" tint="0.39991454817346722"/>
          <bgColor theme="4" tint="0.39994506668294322"/>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i val="0"/>
        <color theme="0"/>
      </font>
      <fill>
        <patternFill patternType="solid">
          <fgColor theme="4" tint="0.39988402966399123"/>
          <bgColor theme="4" tint="0.39994506668294322"/>
        </patternFill>
      </fill>
    </dxf>
    <dxf>
      <font>
        <b/>
        <color theme="0"/>
      </font>
    </dxf>
    <dxf>
      <border>
        <left style="thin">
          <color theme="4" tint="-0.249977111117893"/>
        </left>
        <right style="thin">
          <color theme="4" tint="-0.249977111117893"/>
        </right>
      </border>
    </dxf>
    <dxf>
      <fill>
        <patternFill patternType="none">
          <bgColor auto="1"/>
        </patternFill>
      </fill>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indexed="64"/>
          <bgColor theme="6" tint="0.79998168889431442"/>
        </patternFill>
      </fill>
    </dxf>
    <dxf>
      <fill>
        <patternFill patternType="solid">
          <fgColor theme="6" tint="0.79998168889431442"/>
          <bgColor theme="6" tint="0.59999389629810485"/>
        </patternFill>
      </fill>
      <border>
        <bottom style="thin">
          <color theme="6"/>
        </bottom>
      </border>
    </dxf>
    <dxf>
      <font>
        <color theme="1"/>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color theme="6" tint="-0.499984740745262"/>
      </font>
      <fill>
        <patternFill patternType="solid">
          <fgColor theme="0" tint="-0.14999847407452621"/>
          <bgColor theme="6" tint="0.39997558519241921"/>
        </patternFill>
      </fill>
    </dxf>
    <dxf>
      <font>
        <color theme="0"/>
      </font>
      <fill>
        <patternFill patternType="solid">
          <fgColor theme="6" tint="0.39997558519241921"/>
          <bgColor theme="6" tint="-0.249977111117893"/>
        </patternFill>
      </fill>
    </dxf>
    <dxf>
      <font>
        <color theme="0"/>
      </font>
    </dxf>
    <dxf>
      <fill>
        <patternFill patternType="solid">
          <fgColor indexed="64"/>
          <bgColor theme="6" tint="0.59999389629810485"/>
        </patternFill>
      </fill>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i/>
        <color theme="1"/>
      </font>
      <fill>
        <patternFill patternType="solid">
          <fgColor indexed="64"/>
          <bgColor theme="6" tint="0.59999389629810485"/>
        </patternFill>
      </fill>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indexed="64"/>
          <bgColor theme="4" tint="0.79998168889431442"/>
        </patternFill>
      </fill>
    </dxf>
    <dxf>
      <fill>
        <patternFill patternType="solid">
          <fgColor theme="4" tint="0.59996337778862885"/>
          <bgColor theme="4" tint="0.59996337778862885"/>
        </patternFill>
      </fill>
      <border>
        <bottom style="thin">
          <color theme="6"/>
        </bottom>
      </border>
    </dxf>
    <dxf>
      <font>
        <color theme="1"/>
      </font>
      <fill>
        <patternFill patternType="solid">
          <fgColor theme="4" tint="0.39994506668294322"/>
          <bgColor theme="4" tint="0.39994506668294322"/>
        </patternFill>
      </fill>
      <border diagonalUp="0" diagonalDown="0">
        <left/>
        <right/>
        <top/>
        <bottom/>
        <vertical/>
        <horizontal/>
      </border>
    </dxf>
    <dxf>
      <border>
        <bottom style="thin">
          <color theme="6" tint="0.59999389629810485"/>
        </bottom>
      </border>
    </dxf>
    <dxf>
      <font>
        <color theme="3"/>
      </font>
      <fill>
        <patternFill patternType="solid">
          <fgColor theme="0" tint="-0.14996795556505021"/>
          <bgColor theme="4" tint="0.39994506668294322"/>
        </patternFill>
      </fill>
    </dxf>
    <dxf>
      <font>
        <color theme="0"/>
      </font>
      <fill>
        <patternFill patternType="solid">
          <fgColor theme="4" tint="0.39994506668294322"/>
          <bgColor theme="3"/>
        </patternFill>
      </fill>
    </dxf>
    <dxf>
      <font>
        <color theme="0"/>
      </font>
    </dxf>
    <dxf>
      <fill>
        <patternFill patternType="solid">
          <fgColor indexed="64"/>
          <bgColor theme="4" tint="0.39994506668294322"/>
        </patternFill>
      </fill>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i/>
        <color theme="1"/>
      </font>
      <fill>
        <patternFill patternType="solid">
          <fgColor indexed="64"/>
          <bgColor theme="4" tint="0.39994506668294322"/>
        </patternFill>
      </fill>
      <border>
        <top style="double">
          <color theme="6" tint="-0.249977111117893"/>
        </top>
      </border>
    </dxf>
    <dxf>
      <font>
        <color theme="0"/>
      </font>
      <fill>
        <patternFill patternType="solid">
          <fgColor theme="3"/>
          <bgColor theme="3"/>
        </patternFill>
      </fill>
      <border>
        <horizontal style="thin">
          <color theme="6" tint="-0.249977111117893"/>
        </horizontal>
      </border>
    </dxf>
    <dxf>
      <font>
        <color theme="1"/>
      </font>
      <border>
        <horizontal style="thin">
          <color theme="6" tint="0.79998168889431442"/>
        </horizontal>
      </border>
    </dxf>
  </dxfs>
  <tableStyles count="3" defaultTableStyle="TableStyleMedium9" defaultPivotStyle="PivotStyleMedium4">
    <tableStyle name="Joe" table="0" count="14" xr9:uid="{FC3EBF97-32E9-6D42-9D14-3719193919D5}">
      <tableStyleElement type="wholeTable" dxfId="600"/>
      <tableStyleElement type="headerRow" dxfId="599"/>
      <tableStyleElement type="totalRow" dxfId="598"/>
      <tableStyleElement type="firstRowStripe" dxfId="597"/>
      <tableStyleElement type="firstColumnStripe" dxfId="596"/>
      <tableStyleElement type="firstHeaderCell" dxfId="595"/>
      <tableStyleElement type="firstSubtotalRow" dxfId="594"/>
      <tableStyleElement type="secondSubtotalRow" dxfId="593"/>
      <tableStyleElement type="firstColumnSubheading" dxfId="592"/>
      <tableStyleElement type="firstRowSubheading" dxfId="591"/>
      <tableStyleElement type="secondRowSubheading" dxfId="590"/>
      <tableStyleElement type="thirdRowSubheading" dxfId="589"/>
      <tableStyleElement type="pageFieldLabels" dxfId="588"/>
      <tableStyleElement type="pageFieldValues" dxfId="587"/>
    </tableStyle>
    <tableStyle name="Lisa" table="0" count="14" xr9:uid="{00000000-0011-0000-FFFF-FFFF00000000}">
      <tableStyleElement type="wholeTable" dxfId="586"/>
      <tableStyleElement type="headerRow" dxfId="585"/>
      <tableStyleElement type="totalRow" dxfId="584"/>
      <tableStyleElement type="firstRowStripe" dxfId="583"/>
      <tableStyleElement type="firstColumnStripe" dxfId="582"/>
      <tableStyleElement type="firstHeaderCell" dxfId="581"/>
      <tableStyleElement type="firstSubtotalRow" dxfId="580"/>
      <tableStyleElement type="secondSubtotalRow" dxfId="579"/>
      <tableStyleElement type="firstColumnSubheading" dxfId="578"/>
      <tableStyleElement type="firstRowSubheading" dxfId="577"/>
      <tableStyleElement type="secondRowSubheading" dxfId="576"/>
      <tableStyleElement type="thirdRowSubheading" dxfId="575"/>
      <tableStyleElement type="pageFieldLabels" dxfId="574"/>
      <tableStyleElement type="pageFieldValues" dxfId="573"/>
    </tableStyle>
    <tableStyle name="My Pivot Table" table="0" count="13" xr9:uid="{26FE39EB-3464-764F-B577-B12EC85E0D6E}">
      <tableStyleElement type="wholeTable" dxfId="572"/>
      <tableStyleElement type="headerRow" dxfId="571"/>
      <tableStyleElement type="totalRow" dxfId="570"/>
      <tableStyleElement type="firstRowStripe" dxfId="569"/>
      <tableStyleElement type="firstColumnStripe" dxfId="568"/>
      <tableStyleElement type="firstHeaderCell" dxfId="567"/>
      <tableStyleElement type="firstSubtotalRow" dxfId="566"/>
      <tableStyleElement type="secondSubtotalRow" dxfId="565"/>
      <tableStyleElement type="firstColumnSubheading" dxfId="564"/>
      <tableStyleElement type="firstRowSubheading" dxfId="563"/>
      <tableStyleElement type="secondRowSubheading" dxfId="562"/>
      <tableStyleElement type="pageFieldLabels" dxfId="561"/>
      <tableStyleElement type="pageFieldValues" dxfId="560"/>
    </tableStyle>
  </tableStyles>
  <colors>
    <mruColors>
      <color rgb="FFC8EEB3"/>
      <color rgb="FF0432FF"/>
      <color rgb="FF86E658"/>
      <color rgb="FF00FA00"/>
      <color rgb="FFA0FE9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139700</xdr:colOff>
      <xdr:row>3</xdr:row>
      <xdr:rowOff>76199</xdr:rowOff>
    </xdr:from>
    <xdr:to>
      <xdr:col>11</xdr:col>
      <xdr:colOff>0</xdr:colOff>
      <xdr:row>5</xdr:row>
      <xdr:rowOff>134702</xdr:rowOff>
    </xdr:to>
    <xdr:pic>
      <xdr:nvPicPr>
        <xdr:cNvPr id="6" name="Picture 5">
          <a:extLst>
            <a:ext uri="{FF2B5EF4-FFF2-40B4-BE49-F238E27FC236}">
              <a16:creationId xmlns:a16="http://schemas.microsoft.com/office/drawing/2014/main" id="{D77404D9-E75F-724C-AFA0-DCD3AA95259B}"/>
            </a:ext>
          </a:extLst>
        </xdr:cNvPr>
        <xdr:cNvPicPr>
          <a:picLocks noChangeAspect="1"/>
        </xdr:cNvPicPr>
      </xdr:nvPicPr>
      <xdr:blipFill>
        <a:blip xmlns:r="http://schemas.openxmlformats.org/officeDocument/2006/relationships" r:embed="rId1"/>
        <a:stretch>
          <a:fillRect/>
        </a:stretch>
      </xdr:blipFill>
      <xdr:spPr>
        <a:xfrm>
          <a:off x="10147300" y="812799"/>
          <a:ext cx="1727200" cy="1061803"/>
        </a:xfrm>
        <a:prstGeom prst="rect">
          <a:avLst/>
        </a:prstGeom>
      </xdr:spPr>
    </xdr:pic>
    <xdr:clientData/>
  </xdr:twoCellAnchor>
  <xdr:twoCellAnchor>
    <xdr:from>
      <xdr:col>11</xdr:col>
      <xdr:colOff>368300</xdr:colOff>
      <xdr:row>2</xdr:row>
      <xdr:rowOff>177800</xdr:rowOff>
    </xdr:from>
    <xdr:to>
      <xdr:col>13</xdr:col>
      <xdr:colOff>266700</xdr:colOff>
      <xdr:row>4</xdr:row>
      <xdr:rowOff>673100</xdr:rowOff>
    </xdr:to>
    <xdr:sp macro="" textlink="">
      <xdr:nvSpPr>
        <xdr:cNvPr id="4" name="TextBox 3">
          <a:extLst>
            <a:ext uri="{FF2B5EF4-FFF2-40B4-BE49-F238E27FC236}">
              <a16:creationId xmlns:a16="http://schemas.microsoft.com/office/drawing/2014/main" id="{DD7D0EBF-3A50-3346-8FEA-389F0048D8DE}"/>
            </a:ext>
          </a:extLst>
        </xdr:cNvPr>
        <xdr:cNvSpPr txBox="1"/>
      </xdr:nvSpPr>
      <xdr:spPr>
        <a:xfrm>
          <a:off x="12242800" y="1473200"/>
          <a:ext cx="1549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 color-coded list indicates</a:t>
          </a:r>
          <a:r>
            <a:rPr lang="en-US" sz="1200" baseline="0"/>
            <a:t> the colored labels I used for the packaged meals.</a:t>
          </a:r>
        </a:p>
        <a:p>
          <a:endParaRPr lang="en-US" sz="1100"/>
        </a:p>
      </xdr:txBody>
    </xdr:sp>
    <xdr:clientData/>
  </xdr:twoCellAnchor>
  <xdr:twoCellAnchor>
    <xdr:from>
      <xdr:col>11</xdr:col>
      <xdr:colOff>0</xdr:colOff>
      <xdr:row>4</xdr:row>
      <xdr:rowOff>215900</xdr:rowOff>
    </xdr:from>
    <xdr:to>
      <xdr:col>11</xdr:col>
      <xdr:colOff>368300</xdr:colOff>
      <xdr:row>4</xdr:row>
      <xdr:rowOff>378501</xdr:rowOff>
    </xdr:to>
    <xdr:cxnSp macro="">
      <xdr:nvCxnSpPr>
        <xdr:cNvPr id="5" name="Straight Arrow Connector 4">
          <a:extLst>
            <a:ext uri="{FF2B5EF4-FFF2-40B4-BE49-F238E27FC236}">
              <a16:creationId xmlns:a16="http://schemas.microsoft.com/office/drawing/2014/main" id="{D5B0AC7F-6D7A-B64A-A730-D9CCBAD8D8DC}"/>
            </a:ext>
          </a:extLst>
        </xdr:cNvPr>
        <xdr:cNvCxnSpPr>
          <a:stCxn id="4" idx="1"/>
          <a:endCxn id="6" idx="3"/>
        </xdr:cNvCxnSpPr>
      </xdr:nvCxnSpPr>
      <xdr:spPr>
        <a:xfrm flipH="1">
          <a:off x="11874500" y="1930400"/>
          <a:ext cx="368300" cy="162601"/>
        </a:xfrm>
        <a:prstGeom prst="straightConnector1">
          <a:avLst/>
        </a:prstGeom>
        <a:ln>
          <a:solidFill>
            <a:srgbClr val="FF0000"/>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127000</xdr:colOff>
      <xdr:row>1</xdr:row>
      <xdr:rowOff>533400</xdr:rowOff>
    </xdr:from>
    <xdr:to>
      <xdr:col>10</xdr:col>
      <xdr:colOff>977900</xdr:colOff>
      <xdr:row>5</xdr:row>
      <xdr:rowOff>134703</xdr:rowOff>
    </xdr:to>
    <xdr:pic>
      <xdr:nvPicPr>
        <xdr:cNvPr id="2" name="Picture 1">
          <a:extLst>
            <a:ext uri="{FF2B5EF4-FFF2-40B4-BE49-F238E27FC236}">
              <a16:creationId xmlns:a16="http://schemas.microsoft.com/office/drawing/2014/main" id="{8BAEAA79-2BC0-404D-8353-D4B50CDA0A54}"/>
            </a:ext>
          </a:extLst>
        </xdr:cNvPr>
        <xdr:cNvPicPr>
          <a:picLocks noChangeAspect="1"/>
        </xdr:cNvPicPr>
      </xdr:nvPicPr>
      <xdr:blipFill>
        <a:blip xmlns:r="http://schemas.openxmlformats.org/officeDocument/2006/relationships" r:embed="rId1"/>
        <a:stretch>
          <a:fillRect/>
        </a:stretch>
      </xdr:blipFill>
      <xdr:spPr>
        <a:xfrm>
          <a:off x="10223500" y="533400"/>
          <a:ext cx="1727200" cy="1061803"/>
        </a:xfrm>
        <a:prstGeom prst="rect">
          <a:avLst/>
        </a:prstGeom>
      </xdr:spPr>
    </xdr:pic>
    <xdr:clientData/>
  </xdr:twoCellAnchor>
  <xdr:twoCellAnchor>
    <xdr:from>
      <xdr:col>11</xdr:col>
      <xdr:colOff>342900</xdr:colOff>
      <xdr:row>1</xdr:row>
      <xdr:rowOff>355600</xdr:rowOff>
    </xdr:from>
    <xdr:to>
      <xdr:col>13</xdr:col>
      <xdr:colOff>241300</xdr:colOff>
      <xdr:row>4</xdr:row>
      <xdr:rowOff>292100</xdr:rowOff>
    </xdr:to>
    <xdr:sp macro="" textlink="">
      <xdr:nvSpPr>
        <xdr:cNvPr id="5" name="TextBox 4">
          <a:extLst>
            <a:ext uri="{FF2B5EF4-FFF2-40B4-BE49-F238E27FC236}">
              <a16:creationId xmlns:a16="http://schemas.microsoft.com/office/drawing/2014/main" id="{B7A949E8-000B-5A41-B93E-75D74DD37A6C}"/>
            </a:ext>
          </a:extLst>
        </xdr:cNvPr>
        <xdr:cNvSpPr txBox="1"/>
      </xdr:nvSpPr>
      <xdr:spPr>
        <a:xfrm>
          <a:off x="12306300" y="1079500"/>
          <a:ext cx="1549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 color-coded list indicates</a:t>
          </a:r>
          <a:r>
            <a:rPr lang="en-US" sz="1200" baseline="0"/>
            <a:t> the colored labels I used for the packaged meals.</a:t>
          </a:r>
        </a:p>
        <a:p>
          <a:endParaRPr lang="en-US" sz="1100"/>
        </a:p>
      </xdr:txBody>
    </xdr:sp>
    <xdr:clientData/>
  </xdr:twoCellAnchor>
  <xdr:twoCellAnchor>
    <xdr:from>
      <xdr:col>10</xdr:col>
      <xdr:colOff>977900</xdr:colOff>
      <xdr:row>3</xdr:row>
      <xdr:rowOff>38100</xdr:rowOff>
    </xdr:from>
    <xdr:to>
      <xdr:col>11</xdr:col>
      <xdr:colOff>342900</xdr:colOff>
      <xdr:row>4</xdr:row>
      <xdr:rowOff>86402</xdr:rowOff>
    </xdr:to>
    <xdr:cxnSp macro="">
      <xdr:nvCxnSpPr>
        <xdr:cNvPr id="9" name="Straight Arrow Connector 8">
          <a:extLst>
            <a:ext uri="{FF2B5EF4-FFF2-40B4-BE49-F238E27FC236}">
              <a16:creationId xmlns:a16="http://schemas.microsoft.com/office/drawing/2014/main" id="{0C4C647F-C99E-FF4B-B15D-1CF56FC15522}"/>
            </a:ext>
          </a:extLst>
        </xdr:cNvPr>
        <xdr:cNvCxnSpPr>
          <a:stCxn id="5" idx="1"/>
          <a:endCxn id="2" idx="3"/>
        </xdr:cNvCxnSpPr>
      </xdr:nvCxnSpPr>
      <xdr:spPr>
        <a:xfrm flipH="1">
          <a:off x="11950700" y="1536700"/>
          <a:ext cx="355600" cy="251502"/>
        </a:xfrm>
        <a:prstGeom prst="straightConnector1">
          <a:avLst/>
        </a:prstGeom>
        <a:ln>
          <a:solidFill>
            <a:srgbClr val="FF0000"/>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garruzzo/Dropbox/Personal/Hiking/Hiking%20Gear/Hiking%20Equipment%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Lisa)"/>
      <sheetName val="Complete List (Lisa)"/>
      <sheetName val="Summary (Joe)"/>
      <sheetName val="Complete List (Joe)"/>
      <sheetName val="Categories"/>
    </sheetNames>
    <sheetDataSet>
      <sheetData sheetId="0" refreshError="1"/>
      <sheetData sheetId="1" refreshError="1"/>
      <sheetData sheetId="2" refreshError="1"/>
      <sheetData sheetId="3" refreshError="1"/>
      <sheetData sheetId="4">
        <row r="1">
          <cell r="A1" t="str">
            <v>Category</v>
          </cell>
          <cell r="C1" t="str">
            <v>SubCategories</v>
          </cell>
        </row>
        <row r="2">
          <cell r="A2" t="str">
            <v>Backpack</v>
          </cell>
          <cell r="C2" t="str">
            <v>Base</v>
          </cell>
        </row>
        <row r="3">
          <cell r="A3" t="str">
            <v>Clothing</v>
          </cell>
          <cell r="C3" t="str">
            <v>Camp</v>
          </cell>
        </row>
        <row r="4">
          <cell r="A4" t="str">
            <v>Clothing (Carry)</v>
          </cell>
          <cell r="C4" t="str">
            <v>Hike</v>
          </cell>
        </row>
        <row r="5">
          <cell r="A5" t="str">
            <v>Clothing (Wear)</v>
          </cell>
          <cell r="C5" t="str">
            <v>Midlayer</v>
          </cell>
        </row>
        <row r="6">
          <cell r="A6" t="str">
            <v>Consumables</v>
          </cell>
          <cell r="C6" t="str">
            <v>Outer</v>
          </cell>
        </row>
        <row r="7">
          <cell r="A7" t="str">
            <v>Electronics</v>
          </cell>
        </row>
        <row r="8">
          <cell r="A8" t="str">
            <v>Equipment</v>
          </cell>
        </row>
        <row r="9">
          <cell r="A9" t="str">
            <v>First Aid</v>
          </cell>
        </row>
        <row r="10">
          <cell r="A10" t="str">
            <v>Gear</v>
          </cell>
        </row>
        <row r="11">
          <cell r="A11" t="str">
            <v>Hygiene</v>
          </cell>
        </row>
        <row r="12">
          <cell r="A12" t="str">
            <v>Luxury</v>
          </cell>
        </row>
        <row r="13">
          <cell r="A13" t="str">
            <v>Misc</v>
          </cell>
        </row>
        <row r="14">
          <cell r="A14" t="str">
            <v>Reference</v>
          </cell>
        </row>
        <row r="15">
          <cell r="A15" t="str">
            <v>Shelter and Sleep</v>
          </cell>
        </row>
        <row r="16">
          <cell r="A16" t="str">
            <v>Survival</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ph Garruzzo" refreshedDate="43278.75693009259" createdVersion="6" refreshedVersion="6" minRefreshableVersion="3" recordCount="207" xr:uid="{E6DD73CC-930A-5F45-A600-1986CBB1D893}">
  <cacheSource type="worksheet">
    <worksheetSource ref="A7:K214" sheet="Joe Food Schedule"/>
  </cacheSource>
  <cacheFields count="11">
    <cacheField name="Day on Trail" numFmtId="0">
      <sharedItems containsSemiMixedTypes="0" containsString="0" containsNumber="1" containsInteger="1" minValue="0" maxValue="29"/>
    </cacheField>
    <cacheField name="Carry or Ship to" numFmtId="0">
      <sharedItems/>
    </cacheField>
    <cacheField name="Meal" numFmtId="0">
      <sharedItems count="7">
        <s v="2 Morning Snack"/>
        <s v="3 Lunch"/>
        <s v="4 Afternoon Snack"/>
        <s v="5 Dinner"/>
        <s v="1 Breakfast"/>
        <s v="6 Recovery"/>
        <s v="7 Dessert"/>
      </sharedItems>
    </cacheField>
    <cacheField name="Item" numFmtId="0">
      <sharedItems containsBlank="1" count="37">
        <s v="Coffee w/ Milk (RECIPE)"/>
        <s v="Trail Mix - GORP (2 servings / 6 Tbsp)"/>
        <s v="Monkey Mix / Dried bananas and dark chocolate covered bananas (1 serving / 1/2 pouch)"/>
        <s v="Chicken Gumbo (2 servings / entire pouch)"/>
        <s v="Granola w/ Bananas &amp; Milk (1 serving / 1/2 pouch)"/>
        <s v="Epic Bar - Bison Bacon Cranberry"/>
        <m/>
        <s v="Cheddar bites (freeze-dried) (3.5 servings / entire pouch)"/>
        <s v="Spicy Thai Rice w/ Peanut Sauce (2 servings / entire pouch)"/>
        <s v="Peanut Butter (1.5 servings / 3 Tbsp)"/>
        <s v="Apple Crisp (3 servings / Entire Pouch)"/>
        <s v="Granola with Milk and Blueberries (2 servings / 1 dry cup)"/>
        <s v="Snickers Bars (1bar / 52.7g)"/>
        <s v="Clif Bar - Builder's Protein - Crunchy Peanut Butter"/>
        <s v="Mashed Potatoes W/ Gravy &amp; Beef (3 servings / 3 Dry cups)"/>
        <s v="Hot Cocoa - Marshmallow Lovers (1 packet)"/>
        <s v="Jerky - Pork - Black Cherry BBQ (2.5 servings / entire pack)"/>
        <s v="Chicken Breast and Mashed Potatoes (2 servings / Entire Pouch)"/>
        <s v="Creme Brulee (2 servings / entire pouch)"/>
        <s v="Chicken Fried Rice w/ Vegetables (2 servings / 1 pouch)"/>
        <s v="Ice Cream Sandwich"/>
        <s v="Jerky - Beef - Sweet Chipotle (2.5 servings / entire pack)"/>
        <s v="Toffee Break / Trail Mix w/ nuts, toffee, peanut butter, chocolate, and caramel (1.5 servings / 1/2 pouch)"/>
        <s v="Jerky - Beef - Chili Lime (2.5 servings / entire pack)"/>
        <s v="Cuban Coconut Black Beans &amp; Rice (2 servings / entire pouch)"/>
        <s v="Tortilla (2) w/ Breakfast Skillet (1.5 servings / 1.5 dry cups) (RECIPE)"/>
        <s v="Pop Tarts (2 pastries) - S'Mores"/>
        <s v="banana Bites (freeze-dried) (3 servings / entire pouch)"/>
        <s v="Chili Mac w/ Beef (2.5 servings / 2.5 cups dry)"/>
        <s v="Honey Lime Chicken (2 servings / entire pouch)"/>
        <s v="Macaroni &amp; Cheese (3 servings / 3.75 cups dry)"/>
        <s v="Pop Tarts (2 Pastries) - Frosted Chocolate Chip Cookie Dough"/>
        <s v="Coconut Bites (freeze-dried) (2.5 servings / entire pouch)"/>
        <s v="Pepper Beef w/ Rice (2 servings / entire pouch)"/>
        <s v="Garlic Herb Mashed Potatoes (2 servings / entire pouch)"/>
        <s v="M&amp;M’S Milk Chocolate (1 servings / 1.5oz / 1/4cup)"/>
        <s v="Wild Quinoa Pilaf w/ Hemp Crispies"/>
      </sharedItems>
    </cacheField>
    <cacheField name="Calories" numFmtId="1">
      <sharedItems containsBlank="1" containsMixedTypes="1" containsNumber="1" containsInteger="1" minValue="110" maxValue="1020"/>
    </cacheField>
    <cacheField name="Carbohydrate (g)" numFmtId="1">
      <sharedItems containsBlank="1" containsMixedTypes="1" containsNumber="1" minValue="0" maxValue="178"/>
    </cacheField>
    <cacheField name="Protein (g)" numFmtId="1">
      <sharedItems containsBlank="1" containsMixedTypes="1" containsNumber="1" minValue="1" maxValue="44"/>
    </cacheField>
    <cacheField name="Fat (g)" numFmtId="1">
      <sharedItems containsBlank="1" containsMixedTypes="1" containsNumber="1" minValue="0" maxValue="56"/>
    </cacheField>
    <cacheField name="Sodium (mg)" numFmtId="1">
      <sharedItems containsBlank="1" containsMixedTypes="1" containsNumber="1" containsInteger="1" minValue="0" maxValue="2460"/>
    </cacheField>
    <cacheField name="Weight (oz)" numFmtId="1">
      <sharedItems containsBlank="1" containsMixedTypes="1" containsNumber="1" containsInteger="1" minValue="0" maxValue="0"/>
    </cacheField>
    <cacheField name="Calories / oz." numFmtId="1">
      <sharedItems containsBlank="1" containsMixedTypes="1" containsNumber="1" minValue="0" maxValue="180.7065217391304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ph Garruzzo" refreshedDate="43278.758289120371" createdVersion="6" refreshedVersion="6" minRefreshableVersion="3" recordCount="207" xr:uid="{3E9E396F-7026-BF49-921F-BFA31744BE38}">
  <cacheSource type="worksheet">
    <worksheetSource ref="A7:K214" sheet="Lisa Food Schedule"/>
  </cacheSource>
  <cacheFields count="11">
    <cacheField name="Day on Trail" numFmtId="0">
      <sharedItems containsSemiMixedTypes="0" containsString="0" containsNumber="1" containsInteger="1" minValue="0" maxValue="29"/>
    </cacheField>
    <cacheField name="Carry or Ship to" numFmtId="0">
      <sharedItems/>
    </cacheField>
    <cacheField name="Meal" numFmtId="0">
      <sharedItems count="7">
        <s v="2 Morning Snack"/>
        <s v="3 Lunch"/>
        <s v="4 Afternoon Snack"/>
        <s v="5 Dinner"/>
        <s v="1 Breakfast"/>
        <s v="6 Recovery"/>
        <s v="7 Dessert"/>
      </sharedItems>
    </cacheField>
    <cacheField name="Item" numFmtId="0">
      <sharedItems containsBlank="1" count="37">
        <s v="Coffee w/ Milk (RECIPE)"/>
        <s v="Black Bart Chili w/ Beef &amp; Beans (2 servings / entire pouch)"/>
        <s v="Banana Bites (freeze-dried) (3 servings / entire pouch)"/>
        <s v="Cuban Coconut Black Beans &amp; Rice (2 servings / entire pouch)"/>
        <s v="Granola w/ Bananas &amp; Milk (1 serving / 1/2 pouch)"/>
        <s v="Toffee Break / Trail Mix w/ nuts, toffee, peanut butter, chocolate, and caramel (1.5 servings / 1/2 pouch)"/>
        <m/>
        <s v="Chili Mac w/ Beef (2.5 servings / 2.5 cups dry)"/>
        <s v="Peanut Butter (1.5 servings / 3 Tbsp)"/>
        <s v="Apple Crisp (3 servings / Entire Pouch)"/>
        <s v="Pop Tarts (2 pastries) - S'Mores"/>
        <s v="Clif Bar - Builder's Protein - Chocolate Mint (2.4 oz bar)"/>
        <s v="Epic Bar - Bison Bacon Cranberry"/>
        <s v="Wild Quinoa Pilaf w/ Hemp Crispies"/>
        <s v="Creme Brulee (2 servings / entire pouch)"/>
        <s v="Granola with Milk and Blueberries (2 servings / 1 dry cup)"/>
        <s v="Monkey Mix / Dried bananas and dark chocolate covered bananas (1 serving / 1/2 pouch)"/>
        <s v="Coconut Bites (freeze-dried) (2.5 servings / entire pouch)"/>
        <s v="Himalayan Lentils and Rice (2 servings / entire pouch)"/>
        <s v="Chocolate S'mores (2 servings / 1 pouch)"/>
        <s v="Cheddar bites (freeze-dried) (3.5 servings / entire pouch)"/>
        <s v="Macaroni &amp; Cheese (3 servings / 3.75 cups dry)"/>
        <s v="Ice Cream Sandwich"/>
        <s v="Snickers Bars (1bar / 52.7g)"/>
        <s v="Jerky - Beef - Chili Lime (2.5 servings / entire pack)"/>
        <s v="Hot Cocoa - Marshmallow Lovers (1 packet)"/>
        <s v="Jerky - Pork - Black Cherry BBQ (2.5 servings / entire pack)"/>
        <s v="Mashed Potatoes W/ Gravy &amp; Beef (3 servings / 3 Dry cups)"/>
        <s v="Epic Bar - Lamb Currant Mint"/>
        <s v="Three Cheese Mac &amp; Cheese (2 servings / entire pouch)"/>
        <s v="Pad Thai (2 servings / entire pouch)"/>
        <s v="Cheetos (2 oz.)"/>
        <s v="Spicy Thai Rice w/ Peanut Sauce (2 servings / entire pouch)"/>
        <s v="Tortilla (2) w/ Breakfast Skillet (1.5 servings / 1.5 dry cups) (RECIPE)"/>
        <s v="M&amp;M’S Milk Chocolate (1 servings / 1.5oz / 1/4cup)"/>
        <s v="Garlic Herb Mashed Potatoes (2 servings / entire pouch)"/>
        <s v="Jerky - Beef - Sweet Chipotle (2.5 servings / entire pack)"/>
      </sharedItems>
    </cacheField>
    <cacheField name="Calories" numFmtId="1">
      <sharedItems containsBlank="1" containsMixedTypes="1" containsNumber="1" containsInteger="1" minValue="110" maxValue="1020"/>
    </cacheField>
    <cacheField name="Carbohydrate (g)" numFmtId="1">
      <sharedItems containsBlank="1" containsMixedTypes="1" containsNumber="1" minValue="0" maxValue="178"/>
    </cacheField>
    <cacheField name="Protein (g)" numFmtId="1">
      <sharedItems containsBlank="1" containsMixedTypes="1" containsNumber="1" minValue="1" maxValue="50"/>
    </cacheField>
    <cacheField name="Fat (g)" numFmtId="1">
      <sharedItems containsBlank="1" containsMixedTypes="1" containsNumber="1" minValue="0" maxValue="56"/>
    </cacheField>
    <cacheField name="Sodium (mg)" numFmtId="1">
      <sharedItems containsBlank="1" containsMixedTypes="1" containsNumber="1" containsInteger="1" minValue="0" maxValue="2460"/>
    </cacheField>
    <cacheField name="Weight (oz)" numFmtId="1">
      <sharedItems containsBlank="1" containsMixedTypes="1" containsNumber="1" containsInteger="1" minValue="0" maxValue="0"/>
    </cacheField>
    <cacheField name="Calories / oz." numFmtId="1">
      <sharedItems containsBlank="1" containsMixedTypes="1" containsNumber="1" minValue="0" maxValue="180.7065217391304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ph Garruzzo" refreshedDate="43278.759024074076" createdVersion="6" refreshedVersion="6" minRefreshableVersion="3" recordCount="414" xr:uid="{907088FD-BC83-AC4F-8461-87036348A5B8}">
  <cacheSource type="worksheet">
    <worksheetSource ref="A2:H416" sheet="Food Summary"/>
  </cacheSource>
  <cacheFields count="8">
    <cacheField name="Lisa or Joe" numFmtId="0">
      <sharedItems/>
    </cacheField>
    <cacheField name="Day on Trail" numFmtId="0">
      <sharedItems containsSemiMixedTypes="0" containsString="0" containsNumber="1" containsInteger="1" minValue="0" maxValue="29"/>
    </cacheField>
    <cacheField name="Carry or Ship to" numFmtId="0">
      <sharedItems/>
    </cacheField>
    <cacheField name="Meal" numFmtId="0">
      <sharedItems/>
    </cacheField>
    <cacheField name="Item" numFmtId="0">
      <sharedItems containsBlank="1" count="45">
        <s v="Coffee w/ Milk (RECIPE)"/>
        <s v="Black Bart Chili w/ Beef &amp; Beans (2 servings / entire pouch)"/>
        <s v="Banana Bites (freeze-dried) (3 servings / entire pouch)"/>
        <s v="Cuban Coconut Black Beans &amp; Rice (2 servings / entire pouch)"/>
        <s v="Granola w/ Bananas &amp; Milk (1 serving / 1/2 pouch)"/>
        <s v="Toffee Break / Trail Mix w/ nuts, toffee, peanut butter, chocolate, and caramel (1.5 servings / 1/2 pouch)"/>
        <m/>
        <s v="Chili Mac w/ Beef (2.5 servings / 2.5 cups dry)"/>
        <s v="Peanut Butter (1.5 servings / 3 Tbsp)"/>
        <s v="Apple Crisp (3 servings / Entire Pouch)"/>
        <s v="Pop Tarts (2 pastries) - S'Mores"/>
        <s v="Clif Bar - Builder's Protein - Chocolate Mint (2.4 oz bar)"/>
        <s v="Epic Bar - Bison Bacon Cranberry"/>
        <s v="Wild Quinoa Pilaf w/ Hemp Crispies"/>
        <s v="Creme Brulee (2 servings / entire pouch)"/>
        <s v="Granola with Milk and Blueberries (2 servings / 1 dry cup)"/>
        <s v="Monkey Mix / Dried bananas and dark chocolate covered bananas (1 serving / 1/2 pouch)"/>
        <s v="Coconut Bites (freeze-dried) (2.5 servings / entire pouch)"/>
        <s v="Himalayan Lentils and Rice (2 servings / entire pouch)"/>
        <s v="Chocolate S'mores (2 servings / 1 pouch)"/>
        <s v="Cheddar bites (freeze-dried) (3.5 servings / entire pouch)"/>
        <s v="Macaroni &amp; Cheese (3 servings / 3.75 cups dry)"/>
        <s v="Ice Cream Sandwich"/>
        <s v="Snickers Bars (1bar / 52.7g)"/>
        <s v="Jerky - Beef - Chili Lime (2.5 servings / entire pack)"/>
        <s v="Hot Cocoa - Marshmallow Lovers (1 packet)"/>
        <s v="Jerky - Pork - Black Cherry BBQ (2.5 servings / entire pack)"/>
        <s v="Mashed Potatoes W/ Gravy &amp; Beef (3 servings / 3 Dry cups)"/>
        <s v="Epic Bar - Lamb Currant Mint"/>
        <s v="Three Cheese Mac &amp; Cheese (2 servings / entire pouch)"/>
        <s v="Pad Thai (2 servings / entire pouch)"/>
        <s v="Cheetos (2 oz.)"/>
        <s v="Spicy Thai Rice w/ Peanut Sauce (2 servings / entire pouch)"/>
        <s v="Tortilla (2) w/ Breakfast Skillet (1.5 servings / 1.5 dry cups) (RECIPE)"/>
        <s v="M&amp;M’S Milk Chocolate (1 servings / 1.5oz / 1/4cup)"/>
        <s v="Garlic Herb Mashed Potatoes (2 servings / entire pouch)"/>
        <s v="Jerky - Beef - Sweet Chipotle (2.5 servings / entire pack)"/>
        <s v="Trail Mix - GORP (2 servings / 6 Tbsp)"/>
        <s v="Chicken Gumbo (2 servings / entire pouch)"/>
        <s v="Clif Bar - Builder's Protein - Crunchy Peanut Butter"/>
        <s v="Chicken Breast and Mashed Potatoes (2 servings / Entire Pouch)"/>
        <s v="Chicken Fried Rice w/ Vegetables (2 servings / 1 pouch)"/>
        <s v="Honey Lime Chicken (2 servings / entire pouch)"/>
        <s v="Pop Tarts (2 Pastries) - Frosted Chocolate Chip Cookie Dough"/>
        <s v="Pepper Beef w/ Rice (2 servings / entire pouch)"/>
      </sharedItems>
    </cacheField>
    <cacheField name="Brand" numFmtId="0">
      <sharedItems count="17">
        <s v="Starbucks &amp; Hoosier Hill Farm"/>
        <s v="Alpine Aire"/>
        <s v="Thrive Life"/>
        <s v="Backpacker's Pantry"/>
        <e v="#N/A"/>
        <s v="Mountain House"/>
        <s v="Organics"/>
        <s v="Kellog's"/>
        <s v="Clif"/>
        <s v="Epic"/>
        <s v="Snickers"/>
        <s v="Krave"/>
        <s v="Swiss Miss"/>
        <s v="Cheetos"/>
        <s v="? &amp; Mountain House"/>
        <s v="M &amp; M"/>
        <s v="Nut Harvest"/>
      </sharedItems>
    </cacheField>
    <cacheField name="Supplier" numFmtId="0">
      <sharedItems count="7">
        <s v="Amazon"/>
        <s v="Alpine Aire"/>
        <s v="Thrive Life"/>
        <s v="Backpacker's Pantry"/>
        <e v="#N/A"/>
        <s v="Acme"/>
        <s v="Acme &amp; Mountain House"/>
      </sharedItems>
    </cacheField>
    <cacheField name="Unit (pkg, tub,etc)" numFmtId="0">
      <sharedItems containsMixedTypes="1" containsNumber="1" containsInteger="1" minValue="0" maxValue="0" count="13">
        <n v="0"/>
        <s v="Pouch"/>
        <e v="#N/A"/>
        <s v="#10 Can*"/>
        <s v="Jar"/>
        <s v="6-Pack"/>
        <s v="pkg"/>
        <s v="Bar"/>
        <s v="Pack of 12"/>
        <s v="12-pack"/>
        <s v="Pack of 8"/>
        <s v="Pack of 3 boxes"/>
        <s v="2lb 10oz Bag"/>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ph Garruzzo" refreshedDate="43285.679000115742" createdVersion="6" refreshedVersion="6" minRefreshableVersion="3" recordCount="85" xr:uid="{D9EA3B48-0A7E-6946-8410-754A978C844E}">
  <cacheSource type="worksheet">
    <worksheetSource ref="A2:C87" sheet="Food Cooking Instructions"/>
  </cacheSource>
  <cacheFields count="3">
    <cacheField name="Meal" numFmtId="0">
      <sharedItems count="21">
        <s v="Granola w/ Bananas, Almonds, &amp; Milk"/>
        <s v="Granola with Milk and Blueberries (2 servings / 1 dry cup)"/>
        <s v="Tortilla (2) w/ Breakfast Skillet (1.5 servings / 1.5 dry cups) "/>
        <s v="Chicken Breast and Mashed Potatoes (2 servings / Entire Pouch)"/>
        <s v="Chicken Fried Rice w/ Vegetables (2 servings / 1 pouch)"/>
        <s v="Chicken Gumbo (2 servings / entire pouch)"/>
        <s v="Honey Lime Chicken (2 servings / entire pouch)"/>
        <s v="Chili Mac w/ Beef (2.5 servings / 2.5 cups dry)"/>
        <s v="Macaroni &amp; Cheese (3 servings / 3.75 cups dry)"/>
        <s v="Cuban Coconut Black Beans &amp; Rice (2 servings / entire pouch)"/>
        <s v="Three Cheese Mac &amp; Cheese (2 servings / entire pouch)"/>
        <s v="Garlic Herb Mashed Potatoes (2 servings / entire pouch)"/>
        <s v="Spicy Thai Rice w/ Peanut Sauce (2 servings / entire pouch)"/>
        <s v="Mashed Potatoes W/ Gravy &amp; Beef (3 servings / 3 Dry cups)"/>
        <s v="Black Bart Chili with Beef &amp; Beans"/>
        <s v="Himalayan Lentils and Rice"/>
        <s v="Pepper Beef w/ Rice"/>
        <s v="Wild Quinoa Pilaf w/ Hemp Crispies"/>
        <s v="Apple Crisp"/>
        <s v="Creme Brulee"/>
        <s v="Chocolate S'mores "/>
      </sharedItems>
    </cacheField>
    <cacheField name="Step" numFmtId="0">
      <sharedItems containsSemiMixedTypes="0" containsString="0" containsNumber="1" containsInteger="1" minValue="1" maxValue="5" count="5">
        <n v="1"/>
        <n v="2"/>
        <n v="3"/>
        <n v="4"/>
        <n v="5"/>
      </sharedItems>
    </cacheField>
    <cacheField name="Instruction" numFmtId="0">
      <sharedItems count="42">
        <s v="Remove oxygen absorber packet"/>
        <s v="Add 1 cup of cold or hot water"/>
        <s v="Stir thoroughly and serve"/>
        <s v="Add 2/3 cup of cold water"/>
        <s v="Add 1/2 cup boiling water"/>
        <s v="Stir thoroughly. Close and cook for 4 minutes"/>
        <s v="Stir and cook for 8-9 minutes"/>
        <s v="Fluff with fork and serve"/>
        <s v="Remove oxygen absorber packet and potato pouch"/>
        <s v="Add 1 1/2 cup boiling water to meat, let stand 2-3 mins"/>
        <s v="Remove meat, add potatoes into water. Stir and cook 2 mins"/>
        <s v="Stir and serve w/ meat"/>
        <s v="Add 1 1/2 cup boiling water"/>
        <s v="Stir and cook for 4 mins"/>
        <s v="Add 2 1/2 cups boiling water"/>
        <s v="Stir. Cook for 10-12 minutes"/>
        <s v="Stir and serve"/>
        <s v="Add 2 cups boiling water"/>
        <s v="Add 2 2/5 cups boiling water"/>
        <s v="Remove Oil Packet and add to pouch"/>
        <s v="Stir and cook for 15-20 mins. "/>
        <s v="Stir. Cook for 15-20 minutes"/>
        <s v="Stir. Cook for 5-10 minutes"/>
        <s v="Remove oxygen absorber packet, peanut, &amp; peanut butter packets"/>
        <s v="Add peanut butter to pouch"/>
        <s v="Stir. Sprinkle peanuts and serve"/>
        <s v="Add 4 cups boiling water*"/>
        <s v="Stir. Cook for 13 minutes"/>
        <s v="Add 1 3/4 cups boiling water"/>
        <s v="Stir. Cook for 12-15 minutes"/>
        <s v="Stir and cook for 15 minutes"/>
        <s v="Remove oxygen absorber packet and granola"/>
        <s v="Add 1 cup of boiling water"/>
        <s v="Stir. Cook for 5-6 minutes"/>
        <s v="Stir. Sprinkle granola and serve"/>
        <s v="Remove oxygen absorber and sugar topping packets"/>
        <s v="Add 3/4 cup COLD water"/>
        <s v="Beat briskly for 2 minutes, then let sit for 10 minutes"/>
        <s v="Sprinkle brulee sugar topping and let dissolve on top. Serve"/>
        <s v="Remove oxygen absorber and graham cracker crumb packets"/>
        <s v="Add 2/3 cups of COLD water"/>
        <s v="Sprinkle graham cracker crumb topping. Serve"/>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 Own It®" refreshedDate="43437.660697685184" createdVersion="6" refreshedVersion="6" minRefreshableVersion="3" recordCount="223" xr:uid="{FC9F612E-0260-E74C-AEEF-6D6884252CF0}">
  <cacheSource type="worksheet">
    <worksheetSource ref="A4:P227" sheet="Complete Gear List (Lisa)"/>
  </cacheSource>
  <cacheFields count="18">
    <cacheField name="Item" numFmtId="0">
      <sharedItems count="209">
        <s v="Backpack"/>
        <s v="Water Shoes"/>
        <s v="Down Jacket"/>
        <s v="Baselayer (top, black)"/>
        <s v="Leggings (black/gray)"/>
        <s v="Socks (gray/lavender)"/>
        <s v="Sports Bra (pink/black)"/>
        <s v="Underwear (nude)"/>
        <s v="Underwear (Thinx, beige)"/>
        <s v="Shirt (green)"/>
        <s v="Shorts (hiking, Beige)"/>
        <s v="Socks (teal/green)"/>
        <s v="Underwear (aqua)"/>
        <s v="Windbreaker / Rainshell"/>
        <s v="Fleece Hat"/>
        <s v="Sunglasses"/>
        <s v="Long Sleeve Sun Shirt"/>
        <s v="Pants / Shorts (slate gray)"/>
        <s v="Socks (light gray/aqua)"/>
        <s v="Sports Bra (black)"/>
        <s v="Trail Gaiters"/>
        <s v="Underwear (orange)"/>
        <s v="Watch"/>
        <s v="Gloves (sun)"/>
        <s v="Sun Hat"/>
        <s v="iPhone"/>
        <s v="Batteries (AAAx4)"/>
        <s v="Phone Power &amp; Cord"/>
        <s v="Spare iPhone Battery 2"/>
        <s v="Solar Charger"/>
        <s v="Satellite Personal Tracker"/>
        <s v="Hiking Boots"/>
        <s v="Trekking Poles"/>
        <s v="Emergency Blanket"/>
        <s v="Abreva"/>
        <s v="Advil"/>
        <s v="Diamox"/>
        <s v="Hiker's Salve"/>
        <s v="Inhaler"/>
        <s v="Water (2L)"/>
        <s v="Food"/>
        <s v="IsoPro Fuel (8oz)"/>
        <s v="Mosquito Net"/>
        <s v="Backpack Rain Cover"/>
        <s v="Bandana (orange print)"/>
        <s v="Bandana (red)"/>
        <s v="Bear Can Key"/>
        <s v="Cat Hole Digger"/>
        <s v="Food Cozy"/>
        <s v="Bear Canister"/>
        <s v="Compression Dry Sack (M, 14L)"/>
        <s v="Dry Sack (2L, blue)"/>
        <s v="Dry Sack (4L, green)"/>
        <s v="Dry Sack (4L, pink)"/>
        <s v="Mesh Stuff Sack (S)"/>
        <s v="Odor Proof Bag"/>
        <s v="Headlamp"/>
        <s v="Spoon"/>
        <s v="Personal Item (SW)"/>
        <s v="Aquaphor"/>
        <s v="Sunscreen (Face)"/>
        <s v="Sunscreen (Lip)"/>
        <s v="Hair Bands"/>
        <s v="Personal Item (DC)"/>
        <s v="Toenail Clipper"/>
        <s v="Dental Floss"/>
        <s v="Retainers"/>
        <s v="Toothbrush"/>
        <s v="Toothpaste"/>
        <s v="Tampons"/>
        <s v="Toilet Paper"/>
        <s v="Wipes (50)"/>
        <s v="Towel"/>
        <s v="Travel Bidet"/>
        <s v="Hand Lotion"/>
        <s v="Hand Sanitizer"/>
        <s v="Soap"/>
        <s v="Pack Straps"/>
        <s v="Sit Pad"/>
        <s v="Pen"/>
        <s v="Printed Information"/>
        <s v="JMT Topo Map Guide"/>
        <s v="John Muir Trail Data Book (Kindle)"/>
        <s v="Navigation Survival Guide"/>
        <s v="Sleeping Bag"/>
        <s v="Pillow"/>
        <s v="Sleeping Pad"/>
        <s v="Bic Lighter"/>
        <s v="Mess Kit"/>
        <s v="Stove"/>
        <s v="Multi Tool"/>
        <s v="Water Bottle (Nalgene)"/>
        <s v="Water Bottle (Smart Water)"/>
        <s v="Water Filtration Kit"/>
        <s v="1.75mm Dyneema Cord (15')"/>
        <s v="Compass"/>
        <s v="Survival Knife"/>
        <s v="Trekking Pole Tip (spare)"/>
        <s v="Water Bottle (Platypus 1L)"/>
        <s v="Pack Pocket"/>
        <s v="Baselayer (top, purple)"/>
        <s v="Leggings (black/purple)"/>
        <s v="Baselayer (bottom, black)"/>
        <s v="Fleece Top"/>
        <s v="Mittens"/>
        <s v="Jacket (Midlayer, gray/pink)"/>
        <s v="Baseball Cap"/>
        <s v="Socks (blue)"/>
        <s v="Vitamins / Supplements"/>
        <s v="MicroSpikes"/>
        <s v="Carry Case (crampons)"/>
        <s v="Crampons"/>
        <s v="Survival / First Aid Kit"/>
        <s v="Folding Water Bucket"/>
        <s v="Dry Sack (20L) - Orange"/>
        <s v="Pack Liner"/>
        <s v="Sunscreen Stick"/>
        <s v="Notepad"/>
        <s v="Carabiner"/>
        <s v="AT Guide"/>
        <s v="AT Passport"/>
        <s v="Sleeping Bag Liner"/>
        <s v="Hammock Insulation"/>
        <s v="Hammock"/>
        <s v="Hammock Rainfly"/>
        <s v="Tent"/>
        <s v="Tent (Poles and Stakes)"/>
        <s v="Water Bottle (Platypus 2L)"/>
        <s v="1.75mm Dyneema Cord (30')"/>
        <s v="Backpack - Daylight AddOn"/>
        <s v="Earflap Hat"/>
        <s v="Shirt (Black)"/>
        <s v="Shorts (camp, pink)"/>
        <s v="Tank Top"/>
        <s v="Pants / Shorts (Black)"/>
        <s v="Shirt (Pink)"/>
        <s v="Shorts (aero)"/>
        <s v="Socks (black/blue)"/>
        <s v="Socks (gray/orange)"/>
        <s v="Socks (gray/teal)"/>
        <s v="Gloves (light)"/>
        <s v="Buff Headwear (pink)"/>
        <s v="Rain Jacket"/>
        <s v="Rain Pants"/>
        <s v="Rain Poncho"/>
        <s v="Hiking Gaiters"/>
        <s v="Knee Braces"/>
        <s v="Capri Pants (black/gray camo)"/>
        <s v="Buff Headwear (green/orange)"/>
        <s v="Belt"/>
        <s v="Pants / Shorts (khaki)"/>
        <s v="Socks (gray/blue)"/>
        <s v="Food (in Bear Bag)"/>
        <s v="Water (32oz)"/>
        <s v="Batteries (AA)"/>
        <s v="Headphones"/>
        <s v="Spare iPhone Battery 1"/>
        <s v="Spare iPhone Battery"/>
        <s v="Boots"/>
        <s v="Snow Baskets"/>
        <s v="A&amp;D Ointment"/>
        <s v="Body Glide Anti-Chafe"/>
        <s v="Electrolytes"/>
        <s v="Salt"/>
        <s v="GPS"/>
        <s v="Shock Cord Repair Kit"/>
        <s v="Bear Bag"/>
        <s v="Dry Sack (20L)"/>
        <s v="Dry Sack (8L)"/>
        <s v="Odor-Proof Food Bags (3)"/>
        <s v="Large Carabiners"/>
        <s v="River Bag Dry Sack (13L)"/>
        <s v="Hand Shovel"/>
        <s v="Emergency Rain Poncho"/>
        <s v="Lip Balm"/>
        <s v="Tissue"/>
        <s v="Deodorant"/>
        <s v="Face Moisturizer"/>
        <s v="Washcloth"/>
        <s v="Sunscreen"/>
        <s v="Hand Cream"/>
        <s v="Soap (hand)"/>
        <s v="SPF Stick"/>
        <s v="Travel Pillow"/>
        <s v="Bug Spray"/>
        <s v="Harmonica"/>
        <s v="Lens Anti-Fog"/>
        <s v="Baggies"/>
        <s v="Battery Charger"/>
        <s v="Binoculars"/>
        <s v="Insoles"/>
        <s v="John Muir Trail Data Book"/>
        <s v="PCT / JMT Guide"/>
        <s v="Duct Tape"/>
        <s v="550 Paracord (30'x1)"/>
        <s v="550 Paracord (30'x2)"/>
        <s v="Cord/Rope"/>
        <s v="IsoPro Fuel (4oz)"/>
        <s v="Bear Bell"/>
        <s v="Bear Spray"/>
        <s v="Lighter"/>
        <s v="Water Bottle (Vapur)"/>
        <s v="Knife"/>
        <s v="Can Opener"/>
        <s v="Swiss Army Knife"/>
        <s v="Firestarter Kit"/>
        <s v="Magnesium Fire Starters"/>
        <s v="Survival Blanket"/>
        <s v="Water Bladder"/>
      </sharedItems>
    </cacheField>
    <cacheField name="Packed" numFmtId="0">
      <sharedItems containsBlank="1"/>
    </cacheField>
    <cacheField name="Cut" numFmtId="0">
      <sharedItems containsBlank="1"/>
    </cacheField>
    <cacheField name="Bring" numFmtId="0">
      <sharedItems containsBlank="1" count="2">
        <s v="x"/>
        <m/>
      </sharedItems>
    </cacheField>
    <cacheField name="Priority" numFmtId="0">
      <sharedItems count="2">
        <s v="Critical"/>
        <s v="Optional"/>
      </sharedItems>
    </cacheField>
    <cacheField name="Trail" numFmtId="0">
      <sharedItems/>
    </cacheField>
    <cacheField name="Category" numFmtId="0">
      <sharedItems count="16">
        <s v="Backpack"/>
        <s v="Clothing (Carry)"/>
        <s v="Clothing (Wear)"/>
        <s v="Electronics"/>
        <s v="Equipment"/>
        <s v="First Aid"/>
        <s v="Food / Water / Fuel"/>
        <s v="Gear"/>
        <s v="Hygiene"/>
        <s v="Misc"/>
        <s v="Reference"/>
        <s v="Shelter and Sleep"/>
        <s v="Survival"/>
        <s v="Clothing"/>
        <s v="Consumables"/>
        <s v="Luxury"/>
      </sharedItems>
    </cacheField>
    <cacheField name="SubCategory" numFmtId="0">
      <sharedItems containsBlank="1" count="6">
        <m/>
        <s v="Camp"/>
        <s v="Hike"/>
        <s v="Outer"/>
        <s v="Base"/>
        <s v="Midlayer"/>
      </sharedItems>
    </cacheField>
    <cacheField name="Season" numFmtId="0">
      <sharedItems containsBlank="1"/>
    </cacheField>
    <cacheField name="Container / Pouch" numFmtId="0">
      <sharedItems containsBlank="1"/>
    </cacheField>
    <cacheField name="Pack Location" numFmtId="0">
      <sharedItems containsBlank="1" count="14">
        <m/>
        <s v="Attached to Pack"/>
        <s v="Pillow Stuffsack"/>
        <s v="Main Compartment"/>
        <s v="Top Pouch"/>
        <s v="Wear"/>
        <s v="Hip Belt"/>
        <s v="Front Pocket"/>
        <s v="Bottom Compartment"/>
        <s v="Mess Kit"/>
        <s v="Side (hanging)"/>
        <s v="Side Pocket"/>
        <s v="Outside"/>
        <s v="Hipbelt"/>
      </sharedItems>
    </cacheField>
    <cacheField name="Description" numFmtId="0">
      <sharedItems count="220" longText="1">
        <s v="Osprey Ariel 65 Backpack (empty)"/>
        <s v="VivoBarefoot Ultra Pure Amphibious Sneaker w/ Nite Ize S-biners to hang"/>
        <s v="Mountain Hardwear Ghost Whisperer Down Jacket"/>
        <s v="Under Armour Heat Gear ArmourVent™ Long Sleeve"/>
        <s v="Puma Sport Lifestyle Polyester/Spandex Leggings (black/gray stripe)"/>
        <s v="Socks (gray/lavender Smartwool outer and synthetic liner )"/>
        <s v="Sports Bra (pink/black, Champion)"/>
        <s v="Exofficio GIVE-N-GO® BIKINI BRIEF (nude)"/>
        <s v="Thinx Hiphugger (beige)"/>
        <s v="Under Armour Heat Gear Short Sleeve Shirt (green)"/>
        <s v="White Sierra Hiking Shorts (beige)"/>
        <s v="Socks (teal/green Darn Tough wool outer and synthetic liner)"/>
        <s v="Exofficio GIVE-N-GO® BIKINI BRIEF (aqua)"/>
        <s v="Outdoor Research Helium II Rain Jacket"/>
        <s v="TrailHeads Fleece hat"/>
        <s v="Wear Over Prescription Sunglasses (and case)"/>
        <s v="ExOfficio SolCool Hoodie"/>
        <s v="REI Co-op Sahara Convertible Pants"/>
        <s v="Socks (light gray/aqua SmartWool outer and Fox River synthetic liner)"/>
        <s v="Sports Bra (black/gray, Champion)"/>
        <s v="REI Trail Running Gaiters"/>
        <s v="Exofficio GIVE-N-GO® BIKINI BRIEF (orange)"/>
        <s v="Suunto Core Multifunction Watch"/>
        <s v="Cabela's Guidewear Men's 1/2-finger Sun Gloves"/>
        <s v="Horizon Breeze Brimmer Hat"/>
        <s v="iPhone 7 (in loksak)"/>
        <s v="4 Spare AAA Batteries (for headlamp or SPOT)"/>
        <s v="Anker PowerLine II Lightning Cable &amp; Anker PowerPort II 2 Ports a/c adapter (in loksak)"/>
        <s v="PowerCore 10000mAh Portable Charger"/>
        <s v="SunTactics sCharger-5 Solar Charger in Loksak"/>
        <s v="Spot Gen3 Satellite Personal Tracker w/ hanging carabiners (and 4-AA Batteries)"/>
        <s v="Salomon QUEST PRIME GTX Hiking Boot w/ New Balance Supportive Cushioning Insoles"/>
        <s v="Black Diamond Alpine Carbon Cork Trekking Poles"/>
        <s v="S.O.L. Heat Reflective Emergency Blanket"/>
        <s v="Abreva"/>
        <s v="Advil"/>
        <s v="Diamox"/>
        <s v="Joshua Tree Hiker's Salve"/>
        <s v="Albuterol Inhaler"/>
        <s v="Water 2L"/>
        <s v="Various Food Items"/>
        <s v="MSR® ISOPRO™ Fuel (8oz)"/>
        <s v="Sea to Summit Head Net"/>
        <s v="Jeff’s Gear Hammock/Pack Cover (in carry pouch)"/>
        <s v="Bandana (multi-purpose)"/>
        <s v="3/4&quot; Washer on Nite Ize S-Biner Slide Lock Carabiner"/>
        <s v="The Tent Lab Deuce of Spades Potty Trowel"/>
        <s v="Homemade Food Cozy"/>
        <s v="The Blazer Bearikade WIlderness Food Storage Canister (custom size)"/>
        <s v="Sea to Summit Ultra-Sil Compression Dry Sack (M, 14L) for Sleeping Bag"/>
        <s v="Sea to Summit Ultra-Sil Dry Sack (2L, blue) for Down Jacket"/>
        <s v="Sea to Summit Ultra-Sil Dry Sack (4L, green) for camp clothes"/>
        <s v="Sea to Summit Ultra-Sil Dry Sack (4L, pink) for Toiletries"/>
        <s v="Sea to Summit Mesh Stuff Sack (S) for hiking clothing"/>
        <s v="LokSak OpSak Odor Proof Food Bag (for garbage)"/>
        <s v="Black Diamond Storm Headlamp"/>
        <s v="Vargo Titanium Spork"/>
        <s v="pStyle Female Urination Device (in Tyvek carry case)"/>
        <s v="Aquaphor Healing Ointment"/>
        <s v="La Roche-Posay Ultra Light Sunscreen Fluid SPF60"/>
        <s v="Banana Boat Sport Performance SPF50 Sunscreen Lip Balm"/>
        <s v="Spare Hair Bands"/>
        <s v="Diva Cup"/>
        <s v="Toenail Clipper"/>
        <s v="Dental Floss"/>
        <s v="Retainer"/>
        <s v="Toothbrush"/>
        <s v="Toothpaste"/>
        <s v="Tampons (in Baggie)"/>
        <s v="Toilet Paper (in baggie)"/>
        <s v="Wysi Wipe Multi-Purpose Wipes"/>
        <s v="Sea to Summit Dry Lite Micro Towel"/>
        <s v="Brondell GoSpa Travel Bidet"/>
        <s v="Gold Bond Ultimate Healing Aloe Lotion"/>
        <s v="Hand Sanitizer"/>
        <s v="Dr. Bronner's Magic Soap"/>
        <s v="Sea to Summit Alloy Buckle Accessory Straps (5ft)"/>
        <s v="Therm-a-Rest Z-Seat Pad"/>
        <s v="Fisher Space Pen Bullet Grip Space Pen"/>
        <s v="Various Printed Reference Materials (in loksak)"/>
        <s v="National Geographic John Muir Trail Topo Map Guide"/>
        <s v="Elizabeth Wenk's John Muir Trail Data Book (Kindle Edition)"/>
        <s v="Pathfinder Outdoor Survival Guide - Basic &amp; Primitive Navigation"/>
        <s v="Western Mountaineering Versalite 6' 10-degree Bag (Sea to Summit Ultra-Sil Compression Dry Sack (M, 14L))"/>
        <s v="Therm-a-Rest Stuff Sack Pillow"/>
        <s v="Therm-a-Rest NeoAir XLite Sleeping Pad"/>
        <s v="Bic Lighter"/>
        <s v="GSI Outdoors Pinnacle Soloist Cookset"/>
        <s v="MSR MicroRocket Stove w/ firestarter (in felt pouch)"/>
        <s v="Leatherman Squirt Multitool"/>
        <s v="Nalgene Wide Mouth HDPE Bottle - 32 fl. oz. (w/ HumanGear lid)"/>
        <s v="Smart Water Bottle 1-Liter"/>
        <s v="Sawyer Water Filtration System (mini, 64oz squeeze pack, flush plunger)"/>
        <s v="1.75mm Dyneema Cord (15', gray)"/>
        <s v="SUUNTO MC-2 G USGS MIRROR COMPASS"/>
        <s v="Benchmade 556 Griptilian Serrated Locking Knife"/>
        <s v="Black Diamond Trekking Pole Tips (spare)"/>
        <s v="Platypus plusBottle 1-Liter Water Bottle with Push/Pull Cap"/>
        <s v="Equinox Ultralight Horizontal Pack Pocket"/>
        <s v="Osprey Exos 58 (empty)"/>
        <s v="Columbia Omni-Heat Reflective Long Sleeve Top"/>
        <s v="Kyodan Polyester/Spandex Leggings"/>
        <s v="Columbia Omni-Heat Reflective Tights"/>
        <s v="Columbia Optic Got It II Half-Zip Fleece Top"/>
        <s v="Wool Fingerless Mittens"/>
        <s v="Under Armour Polyester Jacket"/>
        <s v="REI Baseball Cap"/>
        <s v="Socks (blue, REI wool)"/>
        <s v="Duco Unisex Wear Over Prescription Sunglasses (and case)"/>
        <s v="8 Week Supply Vitamins/Supplements"/>
        <s v="Kahtoola MICROspikes® footwear traction (in carry case)"/>
        <s v="Deuter Pouch (for crampons)"/>
        <s v="Black Diamond Aluminum Crampons (in Deuter pouch)"/>
        <s v="In Loksak - Salt Packet, 4 Antiseptic Alcohol Pads, 6 Antibiotic Ointment, 5 - 1&quot; x 3&quot; Bandages, 5 - 3/8&quot; x 1 1/2&quot; Bandages, 2&quot; x 3&quot; Elastic Patch Bandage, 3&quot; x 3&quot; Sterile Gauze Pad, 1 - 4&quot; Adhesive Strips, Moleskin, 2 Safety Pins, Wound Closure Tape, 2nd Skin Blister Pads (7), 7/8x1 5/8 Hyrocolloid Bandages (5), Benadryl Tabs (3), Immodium Tabs (6), Sierogan TOI A Tablets (4), Celtic Sea Salt Packet, Zantac 150 Tablets (16), Firestarter Sticks (7), Duct Tape Nuggets (2), Corn Cushions, Matches, FireLite Sparker, emergency blanket (1-person)"/>
        <s v="Sea to Summit Free-Standing Folding Water Bucket (10L)"/>
        <s v="Sea to Summit Ultra-Sil Dry Sack (20L, orange) for Food"/>
        <s v="Sea to Summit Ultra-Sil Pack Liner"/>
        <s v="Wild Non-Nano Zinc Stick"/>
        <s v="Rite in the Rain Outdoor Journal - Small (in Loksak)"/>
        <s v="Carabiner for hanging food"/>
        <s v="The A.T. Guide (2015 Northbound)"/>
        <s v="Appalachian Trail Passport"/>
        <s v="Sea to Summit Thermolite Reactor Extreme Mummy Bag Liner"/>
        <s v="Hennessy Radiant Double Bubble Pad XL"/>
        <s v="Hennessey Hammock Explorer Ultralight Asym Zip w/ Snakeskins and Gravity Gear Muletape Suspension (in Sea to Summit Big River Dry Bag 13L) "/>
        <s v="Hennessey Hex Rainfly 30D Silnylon w/ Snakeskins &amp; 60ft 1.75mm Dyneema Cord &amp; 4 MSR Stakes"/>
        <s v="Big Agnes Superlight Seedhouse SL2 (and Big Agnes Seedhouse SL 2 Footprint in Sea to Summit Big River Dry Bag 8L)"/>
        <s v="Tent poles and stakes"/>
        <s v="Platypus plusBottle 2-Liter Flexible Water Bottle"/>
        <s v="1.75mm Dyneema Cord (30', yellow) to hang food"/>
        <s v="Osprey Daylite Removable Backpack Attachment"/>
        <s v="Ear Flap Hat (for night)"/>
        <s v="Under Armour Black T-Shirt"/>
        <s v="New Balance Polyester/Spandex Leggings"/>
        <s v="Shorts (pink)"/>
        <s v="Black Nike Dri-Fit Tank Top"/>
        <s v="Kuhl Liberator Convertible Pants / Shorts"/>
        <s v="Outdoor Research Pink Hiking Shirt"/>
        <s v="Shorts (aero)"/>
        <s v="Socks (black/blue, synthetic liner and Darn Tough wool outer)"/>
        <s v="Socks (gray/orange, synthetic liner and Darn Tough wool outer)"/>
        <s v="Socks (gray/teal, synthetic liner and Darn Tough wool outer)"/>
        <s v="Brooks Running Gloves/Mittens"/>
        <s v="Buff headwear (bandana)"/>
        <s v="REI Chinuka Rain Jacket"/>
        <s v="REI Chinuka Rain Pants"/>
        <s v="Snugpak - Patrol Poncho"/>
        <s v="Salomon Bonatti Waterproof Running Jacket"/>
        <s v="Outdoor Research SPARKPLUG GAITERS™"/>
        <s v="Rehband Knee Braces (2)"/>
        <s v="Under Armour Heat Gear Capri Pants (black/gray camo)"/>
        <s v="Buff headwear"/>
        <s v="Marmot Precip Rain Jacket"/>
        <s v="Bison Designs Manzo Reversible Belt"/>
        <s v="Kuhl Liberator Convertible Pants/Shorts"/>
        <s v="Socks (gray/blue, synthetic liner and Darn Tough wool outer)"/>
        <s v="SunDay Afternoons Sun Guide Cap (w/ detachable neck cape)"/>
        <s v="Water 32oz"/>
        <s v="4 Spare AA Batteries (for GPS)"/>
        <s v="Headphones w/ Adaptor"/>
        <s v="Anker 2nd Gen. Astro 6000mAh External Battery Charger with PowerIQ™ Technology"/>
        <s v="Anker Astro Mini 3000mAh External Battery with PowerIQ™ Technology"/>
        <s v="Asolo Fission GV Women's Hiking Boots"/>
        <s v="Black Diamond Snow Baskets for Trekking Poles"/>
        <s v="A&amp;D Ointment"/>
        <s v="Body Glide Anti-Chafe"/>
        <s v="Nuun Electrolyte Tablets"/>
        <s v="Celtic Sea Salt (4 pouches)"/>
        <s v="Osprey UL Raincover for Backpack"/>
        <s v="Garmin GPSMAP 62st"/>
        <s v="Shock Cord Repair Kit"/>
        <s v="Ursack Bear Resistant Food Storage Bag - S29-3 AllWhite (w/ OpSak Odor Proof Bag)"/>
        <s v="BearVault BV500 Food Container"/>
        <s v="Sea to Summit Ultra-Sil Dry Sack (20L, pink) for Sleeping Bag"/>
        <s v="Sea to Summit Ultra-Sil Dry Sack (8L, pink)"/>
        <s v="LokSak OpSak Odor Proof Food Bags"/>
        <s v="Carabiners (2) for hanging food"/>
        <s v="Sea to Summit Big River Dry Bag (13L, blue)"/>
        <s v="Coleman Exponent Hand Trowel Shovel (for latrine digging)"/>
        <s v="Cheap Flimsy Rain Poncho"/>
        <s v="Burts Bees Rejuvinating Lip Balm"/>
        <s v="Tissues"/>
        <s v="Deodorant"/>
        <s v="Simple Replenishing Rich Moisturizer"/>
        <s v="Sea to Summit Ultra-Sil Folding Water Bucket (10L)"/>
        <s v="Sea to Summit Tek Towel Washcloths"/>
        <s v="Sawyer Stay Put Sunscreen SPF 50"/>
        <s v="Neutrogena Hand Cream"/>
        <s v="Sea to Summit Wilderness Wash Pocket Soap"/>
        <s v="Palmer's Cocoa Butter SPF30 Stick"/>
        <s v="REI Mini MultiTowel"/>
        <s v="Cocoon Down Travel Pillow"/>
        <s v="Coleman Botanicals Insect Repellent"/>
        <s v="Harmonica"/>
        <s v="Cat Crap Lens Cleaner Anti-Fog"/>
        <s v="Spare various size baggies"/>
        <s v="Energizer Battery Charger (w/ 4 AA and 4 AAA batteries)"/>
        <s v="Compact Binoculars"/>
        <s v="New Balance Supportive Cushioning Insoles"/>
        <s v="Elizabeth Wenk's John Muir Trail Data Book"/>
        <s v="Yogi's PCT Handbook (Pages) &amp; Wenk JMT Guide"/>
        <s v="Voyager 800 Lightweight Sleeping Bag (in 13L Sea to Summit Ultra-Sil Dry Sack)"/>
        <s v="Thermarest ProLite 4 Self Inflating Sleeping Pad"/>
        <s v="Small Roll Gorilla Tape"/>
        <s v="30'x1 550 Paracord"/>
        <s v="30'x2 550 Paracord"/>
        <s v="23' Heavy Duty Cord/Rope"/>
        <s v="MSR® ISOPRO™ Fuel (4oz)"/>
        <s v="Coghlans Bear Bell"/>
        <s v="Bear Spray w/ holster"/>
        <s v="Ultimate Survival Technologies Klipp Lighter"/>
        <s v="REI 32oz Nalgene Wide-Mouth Loop-Top Water Bottle filled w/ water (6.25oz Empty)"/>
        <s v="Vapur Collapsible Water Bottle 1-Liter"/>
        <s v="Schrade Fixed Blade Knife (w/ knife sharpener &amp; holster)"/>
        <s v="Coghlan's Basic Can / Bottle Opener in Loksak"/>
        <s v="Swiss Army Multitool + mini multitool"/>
        <s v="In Loksak - cotton tinder, FireSteel® Scout 2.0 fire starter tool, wetfire tinder"/>
        <s v="Magnesium Fire Starters (2)"/>
        <s v="SOL 1-2 Person Survival Blanket"/>
        <s v="Osprey 100oz bladder (insulated, empty)"/>
      </sharedItems>
    </cacheField>
    <cacheField name="Weight (lbs)" numFmtId="0">
      <sharedItems containsSemiMixedTypes="0" containsString="0" containsNumber="1" containsInteger="1" minValue="0" maxValue="13"/>
    </cacheField>
    <cacheField name="Weight (oz)" numFmtId="0">
      <sharedItems containsSemiMixedTypes="0" containsString="0" containsNumber="1" minValue="0" maxValue="15"/>
    </cacheField>
    <cacheField name="Qty" numFmtId="0">
      <sharedItems containsSemiMixedTypes="0" containsString="0" containsNumber="1" containsInteger="1" minValue="1" maxValue="2" count="2">
        <n v="1"/>
        <n v="2"/>
      </sharedItems>
    </cacheField>
    <cacheField name="Total Weight (oz)" numFmtId="0">
      <sharedItems containsSemiMixedTypes="0" containsString="0" containsNumber="1" minValue="0" maxValue="208"/>
    </cacheField>
    <cacheField name="Total Pounds for Category" numFmtId="0" formula="SUM(#NAME?) * 16" databaseField="0"/>
    <cacheField name="Total Pounds" numFmtId="0" formula="'Total Weight (oz)'/16"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 Own It®" refreshedDate="43437.661800925925" createdVersion="6" refreshedVersion="6" minRefreshableVersion="3" recordCount="75" xr:uid="{677ED43F-F0E0-FF49-816A-B0E6416D632C}">
  <cacheSource type="worksheet">
    <worksheetSource ref="A4:P79" sheet="Complete Gear List (Joe)"/>
  </cacheSource>
  <cacheFields count="17">
    <cacheField name="Item" numFmtId="0">
      <sharedItems count="72">
        <s v="Backpack"/>
        <s v="Baselayer (bottom, black)"/>
        <s v="Camp Shirt"/>
        <s v="Puffy Jacket"/>
        <s v="Water Shoe"/>
        <s v="Socks (gray)"/>
        <s v="Socks (gray/blue)"/>
        <s v="Underwear (gray/blue)"/>
        <s v="Windbreaker / Rainshell"/>
        <s v="Belt"/>
        <s v="Brimmed Hat"/>
        <s v="Hiking Pants"/>
        <s v="Hiking Shirt"/>
        <s v="Socks (gray/blue/green stripe)"/>
        <s v="Sunglasses"/>
        <s v="Underwear (black/red)"/>
        <s v="Gloves (Sun)"/>
        <s v="Food"/>
        <s v="IsoPro Fuel (8oz)"/>
        <s v="Water (2L)"/>
        <s v="HikingBoots"/>
        <s v="Trekking Poles"/>
        <s v="Abreva"/>
        <s v="Saline Nasal Spray"/>
        <s v="Salve"/>
        <s v="Survival / First Aid Kit"/>
        <s v="Mosquito Net"/>
        <s v="Backpack Rain Cover"/>
        <s v="Bandana (orange print)"/>
        <s v="Bandana (red)"/>
        <s v="Bear Canister"/>
        <s v="Cat Hole Digger"/>
        <s v="Dry Sack (13L)"/>
        <s v="Food Cozy"/>
        <s v="Headlamp"/>
        <s v="iPhone"/>
        <s v="Mesh Stuff Sack (S)"/>
        <s v="Odor Proof Bag"/>
        <s v="Aquaphor"/>
        <s v="Dental Floss"/>
        <s v="Hand Sanitizer"/>
        <s v="Soap"/>
        <s v="Sunscreen (Lip)"/>
        <s v="Toilet Paper"/>
        <s v="Toothbrush"/>
        <s v="Toothpaste"/>
        <s v="Washcloth"/>
        <s v="Wipes (50)"/>
        <s v="Bug Spray"/>
        <s v="Pack Straps"/>
        <s v="Pack Travel Case"/>
        <s v="Sit Pad"/>
        <s v="Spoon"/>
        <s v="Pillow"/>
        <s v="Sleeping Bag"/>
        <s v="Sleeping Bag Liner"/>
        <s v="Sleeping Pad"/>
        <s v="Tent"/>
        <s v="Tent (Poles and Stakes)"/>
        <s v="Carry Case (water filtration kit)"/>
        <s v="Cord Bracelet"/>
        <s v="Survival Knife"/>
        <s v="Water Bottle (Nalgene)"/>
        <s v="Water Bottle (Platypus 2L)"/>
        <s v="Water Bottle (Smart Water)"/>
        <s v="Water Filtration Kit"/>
        <s v="Trekking Pole Tip"/>
        <s v="Cup"/>
        <s v="Cards"/>
        <s v="Crampons"/>
        <s v="Microspikes"/>
        <s v="Stove"/>
      </sharedItems>
    </cacheField>
    <cacheField name="Packed" numFmtId="0">
      <sharedItems containsNonDate="0" containsString="0" containsBlank="1"/>
    </cacheField>
    <cacheField name="Cut" numFmtId="0">
      <sharedItems containsBlank="1"/>
    </cacheField>
    <cacheField name="Bring" numFmtId="0">
      <sharedItems containsBlank="1" count="2">
        <s v="x"/>
        <m/>
      </sharedItems>
    </cacheField>
    <cacheField name="Priority" numFmtId="0">
      <sharedItems count="2">
        <s v="Critical"/>
        <s v="Optional"/>
      </sharedItems>
    </cacheField>
    <cacheField name="Trail" numFmtId="0">
      <sharedItems/>
    </cacheField>
    <cacheField name="Category" numFmtId="0">
      <sharedItems count="12">
        <s v="Backpack"/>
        <s v="Clothing (Carry)"/>
        <s v="Clothing (Wear)"/>
        <s v="Consumables"/>
        <s v="Equipment"/>
        <s v="First Aid"/>
        <s v="Gear"/>
        <s v="Hygiene"/>
        <s v="Misc"/>
        <s v="Shelter and Sleep"/>
        <s v="Survival"/>
        <s v="Luxury"/>
      </sharedItems>
    </cacheField>
    <cacheField name="SubCategory" numFmtId="0">
      <sharedItems containsBlank="1" count="4">
        <m/>
        <s v="Camp"/>
        <s v="Hike"/>
        <s v="Outer"/>
      </sharedItems>
    </cacheField>
    <cacheField name="Season" numFmtId="0">
      <sharedItems containsBlank="1" count="4">
        <m/>
        <s v="All-Season"/>
        <s v="Summer"/>
        <s v="Snow"/>
      </sharedItems>
    </cacheField>
    <cacheField name="Container / Pouch" numFmtId="0">
      <sharedItems containsNonDate="0" containsString="0" containsBlank="1"/>
    </cacheField>
    <cacheField name="Pack Location" numFmtId="0">
      <sharedItems containsBlank="1"/>
    </cacheField>
    <cacheField name="Description" numFmtId="0">
      <sharedItems containsBlank="1" longText="1"/>
    </cacheField>
    <cacheField name="Weight (lbs)" numFmtId="0">
      <sharedItems containsSemiMixedTypes="0" containsString="0" containsNumber="1" containsInteger="1" minValue="0" maxValue="22"/>
    </cacheField>
    <cacheField name="Weight (oz)" numFmtId="0">
      <sharedItems containsSemiMixedTypes="0" containsString="0" containsNumber="1" minValue="0" maxValue="14.25"/>
    </cacheField>
    <cacheField name="Qty" numFmtId="0">
      <sharedItems containsSemiMixedTypes="0" containsString="0" containsNumber="1" containsInteger="1" minValue="0" maxValue="2"/>
    </cacheField>
    <cacheField name="Total Weight (oz)" numFmtId="0">
      <sharedItems containsSemiMixedTypes="0" containsString="0" containsNumber="1" minValue="0" maxValue="352"/>
    </cacheField>
    <cacheField name="Total Pounds" numFmtId="0" formula="'Total Weight (oz)'/16"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n v="0"/>
    <s v="Carry"/>
    <x v="0"/>
    <x v="0"/>
    <m/>
    <m/>
    <m/>
    <m/>
    <m/>
    <m/>
    <m/>
  </r>
  <r>
    <n v="0"/>
    <s v="Carry"/>
    <x v="1"/>
    <x v="1"/>
    <n v="300"/>
    <n v="24"/>
    <n v="8"/>
    <n v="20"/>
    <n v="120"/>
    <n v="0"/>
    <n v="150"/>
  </r>
  <r>
    <n v="0"/>
    <s v="Carry"/>
    <x v="2"/>
    <x v="2"/>
    <n v="280"/>
    <n v="34"/>
    <n v="2"/>
    <n v="17"/>
    <n v="0"/>
    <n v="0"/>
    <n v="140"/>
  </r>
  <r>
    <n v="0"/>
    <s v="Carry"/>
    <x v="3"/>
    <x v="3"/>
    <n v="540"/>
    <n v="100"/>
    <n v="32"/>
    <n v="4"/>
    <n v="1260"/>
    <n v="0"/>
    <n v="98.181818181818187"/>
  </r>
  <r>
    <n v="1"/>
    <s v="Carry"/>
    <x v="4"/>
    <x v="4"/>
    <n v="620"/>
    <n v="74"/>
    <n v="16"/>
    <n v="31"/>
    <n v="280"/>
    <n v="0"/>
    <n v="130.52631578947367"/>
  </r>
  <r>
    <n v="1"/>
    <s v="Carry"/>
    <x v="0"/>
    <x v="5"/>
    <n v="130"/>
    <n v="8"/>
    <n v="7"/>
    <n v="8"/>
    <n v="320"/>
    <n v="0"/>
    <n v="99.999999999999986"/>
  </r>
  <r>
    <n v="1"/>
    <s v="Carry"/>
    <x v="1"/>
    <x v="6"/>
    <s v=""/>
    <s v=""/>
    <s v=""/>
    <s v=""/>
    <s v=""/>
    <s v=""/>
    <s v=""/>
  </r>
  <r>
    <n v="1"/>
    <s v="Carry"/>
    <x v="2"/>
    <x v="7"/>
    <n v="665"/>
    <n v="0"/>
    <n v="35"/>
    <n v="56"/>
    <n v="2415"/>
    <n v="0"/>
    <n v="180.70652173913044"/>
  </r>
  <r>
    <n v="1"/>
    <s v="Carry"/>
    <x v="3"/>
    <x v="8"/>
    <n v="1000"/>
    <n v="112"/>
    <n v="40"/>
    <n v="52"/>
    <n v="460"/>
    <n v="0"/>
    <n v="123.4567901234568"/>
  </r>
  <r>
    <n v="1"/>
    <s v="Carry"/>
    <x v="5"/>
    <x v="9"/>
    <n v="300"/>
    <n v="10.5"/>
    <n v="10.5"/>
    <n v="25.5"/>
    <n v="150"/>
    <n v="0"/>
    <n v="177.77777777777777"/>
  </r>
  <r>
    <n v="1"/>
    <s v="Carry"/>
    <x v="6"/>
    <x v="10"/>
    <n v="540"/>
    <n v="105"/>
    <n v="6"/>
    <n v="12"/>
    <n v="240"/>
    <n v="0"/>
    <n v="117.64705882352942"/>
  </r>
  <r>
    <n v="2"/>
    <s v="Carry"/>
    <x v="4"/>
    <x v="11"/>
    <n v="500"/>
    <n v="74"/>
    <n v="16"/>
    <n v="18"/>
    <n v="130"/>
    <n v="0"/>
    <n v="126.55024044545685"/>
  </r>
  <r>
    <n v="2"/>
    <s v="Carry"/>
    <x v="0"/>
    <x v="12"/>
    <n v="250"/>
    <n v="33"/>
    <n v="4"/>
    <n v="12"/>
    <n v="120"/>
    <n v="0"/>
    <n v="134.40860215053763"/>
  </r>
  <r>
    <n v="2"/>
    <s v="Carry"/>
    <x v="1"/>
    <x v="6"/>
    <s v=""/>
    <s v=""/>
    <s v=""/>
    <s v=""/>
    <s v=""/>
    <s v=""/>
    <s v=""/>
  </r>
  <r>
    <n v="2"/>
    <s v="Carry"/>
    <x v="2"/>
    <x v="13"/>
    <n v="280"/>
    <n v="29"/>
    <n v="20"/>
    <n v="10"/>
    <n v="360"/>
    <n v="0"/>
    <n v="116.66666666666667"/>
  </r>
  <r>
    <n v="2"/>
    <s v="Carry"/>
    <x v="3"/>
    <x v="14"/>
    <n v="480"/>
    <n v="84"/>
    <n v="30"/>
    <n v="3"/>
    <n v="1530"/>
    <n v="0"/>
    <n v="101.93905817174515"/>
  </r>
  <r>
    <n v="2"/>
    <s v="Carry"/>
    <x v="5"/>
    <x v="9"/>
    <n v="300"/>
    <n v="10.5"/>
    <n v="10.5"/>
    <n v="25.5"/>
    <n v="150"/>
    <n v="0"/>
    <n v="177.77777777777777"/>
  </r>
  <r>
    <n v="2"/>
    <s v="Carry"/>
    <x v="6"/>
    <x v="15"/>
    <n v="110"/>
    <n v="21"/>
    <n v="1"/>
    <n v="2"/>
    <n v="150"/>
    <n v="0"/>
    <n v="118.27956989247312"/>
  </r>
  <r>
    <n v="3"/>
    <s v="Carry"/>
    <x v="4"/>
    <x v="11"/>
    <n v="500"/>
    <n v="74"/>
    <n v="16"/>
    <n v="18"/>
    <n v="130"/>
    <n v="0"/>
    <n v="126.55024044545685"/>
  </r>
  <r>
    <n v="3"/>
    <s v="Carry"/>
    <x v="0"/>
    <x v="16"/>
    <n v="200"/>
    <n v="25"/>
    <n v="22.5"/>
    <n v="1.25"/>
    <n v="800"/>
    <n v="0"/>
    <n v="74.074074074074076"/>
  </r>
  <r>
    <n v="3"/>
    <s v="Carry"/>
    <x v="1"/>
    <x v="6"/>
    <s v=""/>
    <s v=""/>
    <s v=""/>
    <s v=""/>
    <s v=""/>
    <s v=""/>
    <s v=""/>
  </r>
  <r>
    <n v="3"/>
    <s v="Carry"/>
    <x v="2"/>
    <x v="1"/>
    <n v="300"/>
    <n v="24"/>
    <n v="8"/>
    <n v="20"/>
    <n v="120"/>
    <n v="0"/>
    <n v="150"/>
  </r>
  <r>
    <n v="3"/>
    <s v="Carry"/>
    <x v="3"/>
    <x v="17"/>
    <n v="420"/>
    <n v="44"/>
    <n v="44"/>
    <n v="7"/>
    <n v="1620"/>
    <n v="0"/>
    <n v="113.5135135135135"/>
  </r>
  <r>
    <n v="3"/>
    <s v="Carry"/>
    <x v="5"/>
    <x v="9"/>
    <n v="300"/>
    <n v="10.5"/>
    <n v="10.5"/>
    <n v="25.5"/>
    <n v="150"/>
    <n v="0"/>
    <n v="177.77777777777777"/>
  </r>
  <r>
    <n v="3"/>
    <s v="Carry"/>
    <x v="6"/>
    <x v="18"/>
    <n v="540"/>
    <n v="72"/>
    <n v="14"/>
    <n v="22"/>
    <n v="780"/>
    <n v="0"/>
    <n v="117.39130434782609"/>
  </r>
  <r>
    <n v="4"/>
    <s v="Carry"/>
    <x v="4"/>
    <x v="4"/>
    <n v="620"/>
    <n v="74"/>
    <n v="16"/>
    <n v="31"/>
    <n v="280"/>
    <n v="0"/>
    <n v="130.52631578947367"/>
  </r>
  <r>
    <n v="4"/>
    <s v="Carry"/>
    <x v="0"/>
    <x v="7"/>
    <n v="665"/>
    <n v="0"/>
    <n v="35"/>
    <n v="56"/>
    <n v="2415"/>
    <n v="0"/>
    <n v="180.70652173913044"/>
  </r>
  <r>
    <n v="4"/>
    <s v="Carry"/>
    <x v="1"/>
    <x v="6"/>
    <s v=""/>
    <s v=""/>
    <s v=""/>
    <s v=""/>
    <s v=""/>
    <s v=""/>
    <s v=""/>
  </r>
  <r>
    <n v="4"/>
    <s v="Carry"/>
    <x v="2"/>
    <x v="2"/>
    <n v="280"/>
    <n v="34"/>
    <n v="2"/>
    <n v="17"/>
    <n v="0"/>
    <n v="0"/>
    <n v="140"/>
  </r>
  <r>
    <n v="4"/>
    <s v="Carry"/>
    <x v="3"/>
    <x v="19"/>
    <n v="620"/>
    <n v="90"/>
    <n v="28"/>
    <n v="20"/>
    <n v="1340"/>
    <n v="0"/>
    <n v="122.04724409448819"/>
  </r>
  <r>
    <n v="4"/>
    <s v="Carry"/>
    <x v="5"/>
    <x v="9"/>
    <n v="300"/>
    <n v="10.5"/>
    <n v="10.5"/>
    <n v="25.5"/>
    <n v="150"/>
    <n v="0"/>
    <n v="177.77777777777777"/>
  </r>
  <r>
    <n v="4"/>
    <s v="Carry"/>
    <x v="6"/>
    <x v="20"/>
    <n v="170"/>
    <n v="28"/>
    <n v="2"/>
    <n v="6"/>
    <n v="135"/>
    <n v="0"/>
    <n v="150.44247787610621"/>
  </r>
  <r>
    <n v="5"/>
    <s v="Carry"/>
    <x v="4"/>
    <x v="4"/>
    <n v="620"/>
    <n v="74"/>
    <n v="16"/>
    <n v="31"/>
    <n v="280"/>
    <n v="0"/>
    <n v="130.52631578947367"/>
  </r>
  <r>
    <n v="5"/>
    <s v="Carry"/>
    <x v="0"/>
    <x v="21"/>
    <n v="225"/>
    <n v="30"/>
    <n v="20"/>
    <n v="3.75"/>
    <n v="875"/>
    <n v="0"/>
    <n v="83.333333333333329"/>
  </r>
  <r>
    <n v="5"/>
    <s v="Carry"/>
    <x v="1"/>
    <x v="6"/>
    <s v=""/>
    <s v=""/>
    <s v=""/>
    <s v=""/>
    <s v=""/>
    <s v=""/>
    <s v=""/>
  </r>
  <r>
    <n v="5"/>
    <s v="Carry"/>
    <x v="2"/>
    <x v="22"/>
    <n v="510"/>
    <n v="42"/>
    <n v="10.5"/>
    <n v="33"/>
    <n v="75"/>
    <n v="0"/>
    <n v="170"/>
  </r>
  <r>
    <n v="5"/>
    <s v="Carry"/>
    <x v="3"/>
    <x v="3"/>
    <n v="540"/>
    <n v="100"/>
    <n v="32"/>
    <n v="4"/>
    <n v="1260"/>
    <n v="0"/>
    <n v="98.181818181818187"/>
  </r>
  <r>
    <n v="5"/>
    <s v="Carry"/>
    <x v="5"/>
    <x v="9"/>
    <n v="300"/>
    <n v="10.5"/>
    <n v="10.5"/>
    <n v="25.5"/>
    <n v="150"/>
    <n v="0"/>
    <n v="177.77777777777777"/>
  </r>
  <r>
    <n v="5"/>
    <s v="Carry"/>
    <x v="6"/>
    <x v="15"/>
    <n v="110"/>
    <n v="21"/>
    <n v="1"/>
    <n v="2"/>
    <n v="150"/>
    <n v="0"/>
    <n v="118.27956989247312"/>
  </r>
  <r>
    <n v="6"/>
    <s v="Carry"/>
    <x v="4"/>
    <x v="11"/>
    <n v="500"/>
    <n v="74"/>
    <n v="16"/>
    <n v="18"/>
    <n v="130"/>
    <n v="0"/>
    <n v="126.55024044545685"/>
  </r>
  <r>
    <n v="6"/>
    <s v="Carry"/>
    <x v="0"/>
    <x v="23"/>
    <n v="225"/>
    <n v="30"/>
    <n v="20"/>
    <n v="3.75"/>
    <n v="950"/>
    <n v="0"/>
    <n v="83.333333333333329"/>
  </r>
  <r>
    <n v="6"/>
    <s v="Carry"/>
    <x v="1"/>
    <x v="6"/>
    <s v=""/>
    <s v=""/>
    <s v=""/>
    <s v=""/>
    <s v=""/>
    <s v=""/>
    <s v=""/>
  </r>
  <r>
    <n v="6"/>
    <s v="Carry"/>
    <x v="2"/>
    <x v="22"/>
    <n v="510"/>
    <n v="42"/>
    <n v="10.5"/>
    <n v="33"/>
    <n v="75"/>
    <n v="0"/>
    <n v="170"/>
  </r>
  <r>
    <n v="6"/>
    <s v="Carry"/>
    <x v="3"/>
    <x v="24"/>
    <n v="960"/>
    <n v="178"/>
    <n v="34"/>
    <n v="12"/>
    <n v="1620"/>
    <n v="0"/>
    <n v="109.09090909090908"/>
  </r>
  <r>
    <n v="6"/>
    <s v="Carry"/>
    <x v="5"/>
    <x v="9"/>
    <n v="300"/>
    <n v="10.5"/>
    <n v="10.5"/>
    <n v="25.5"/>
    <n v="150"/>
    <n v="0"/>
    <n v="177.77777777777777"/>
  </r>
  <r>
    <n v="6"/>
    <s v="Carry"/>
    <x v="6"/>
    <x v="20"/>
    <n v="170"/>
    <n v="28"/>
    <n v="2"/>
    <n v="6"/>
    <n v="135"/>
    <n v="0"/>
    <n v="150.44247787610621"/>
  </r>
  <r>
    <n v="7"/>
    <s v="Carry"/>
    <x v="4"/>
    <x v="4"/>
    <n v="620"/>
    <n v="74"/>
    <n v="16"/>
    <n v="31"/>
    <n v="280"/>
    <n v="0"/>
    <n v="130.52631578947367"/>
  </r>
  <r>
    <n v="7"/>
    <s v="Carry"/>
    <x v="0"/>
    <x v="1"/>
    <n v="300"/>
    <n v="24"/>
    <n v="8"/>
    <n v="20"/>
    <n v="120"/>
    <n v="0"/>
    <n v="150"/>
  </r>
  <r>
    <n v="7"/>
    <s v="Carry"/>
    <x v="1"/>
    <x v="6"/>
    <s v=""/>
    <s v=""/>
    <s v=""/>
    <s v=""/>
    <s v=""/>
    <s v=""/>
    <s v=""/>
  </r>
  <r>
    <n v="7"/>
    <s v="Carry"/>
    <x v="2"/>
    <x v="2"/>
    <n v="280"/>
    <n v="34"/>
    <n v="2"/>
    <n v="17"/>
    <n v="0"/>
    <n v="0"/>
    <n v="140"/>
  </r>
  <r>
    <n v="7"/>
    <s v="Carry"/>
    <x v="3"/>
    <x v="14"/>
    <n v="480"/>
    <n v="84"/>
    <n v="30"/>
    <n v="3"/>
    <n v="1530"/>
    <n v="0"/>
    <n v="101.93905817174515"/>
  </r>
  <r>
    <n v="7"/>
    <s v="Carry"/>
    <x v="5"/>
    <x v="9"/>
    <n v="300"/>
    <n v="10.5"/>
    <n v="10.5"/>
    <n v="25.5"/>
    <n v="150"/>
    <n v="0"/>
    <n v="177.77777777777777"/>
  </r>
  <r>
    <n v="7"/>
    <s v="Carry"/>
    <x v="6"/>
    <x v="18"/>
    <n v="540"/>
    <n v="72"/>
    <n v="14"/>
    <n v="22"/>
    <n v="780"/>
    <n v="0"/>
    <n v="117.39130434782609"/>
  </r>
  <r>
    <n v="8"/>
    <s v="Carry"/>
    <x v="4"/>
    <x v="4"/>
    <n v="620"/>
    <n v="74"/>
    <n v="16"/>
    <n v="31"/>
    <n v="280"/>
    <n v="0"/>
    <n v="130.52631578947367"/>
  </r>
  <r>
    <n v="8"/>
    <s v="Carry"/>
    <x v="0"/>
    <x v="13"/>
    <n v="280"/>
    <n v="29"/>
    <n v="20"/>
    <n v="10"/>
    <n v="360"/>
    <n v="0"/>
    <n v="116.66666666666667"/>
  </r>
  <r>
    <n v="8"/>
    <s v="Carry"/>
    <x v="1"/>
    <x v="6"/>
    <s v=""/>
    <s v=""/>
    <s v=""/>
    <s v=""/>
    <s v=""/>
    <s v=""/>
    <s v=""/>
  </r>
  <r>
    <n v="8"/>
    <s v="Carry"/>
    <x v="2"/>
    <x v="22"/>
    <n v="510"/>
    <n v="42"/>
    <n v="10.5"/>
    <n v="33"/>
    <n v="75"/>
    <n v="0"/>
    <n v="170"/>
  </r>
  <r>
    <n v="8"/>
    <s v="Carry"/>
    <x v="3"/>
    <x v="24"/>
    <n v="960"/>
    <n v="178"/>
    <n v="34"/>
    <n v="12"/>
    <n v="1620"/>
    <n v="0"/>
    <n v="109.09090909090908"/>
  </r>
  <r>
    <n v="8"/>
    <s v="Carry"/>
    <x v="5"/>
    <x v="9"/>
    <n v="300"/>
    <n v="10.5"/>
    <n v="10.5"/>
    <n v="25.5"/>
    <n v="150"/>
    <n v="0"/>
    <n v="177.77777777777777"/>
  </r>
  <r>
    <n v="8"/>
    <s v="Carry"/>
    <x v="6"/>
    <x v="15"/>
    <n v="110"/>
    <n v="21"/>
    <n v="1"/>
    <n v="2"/>
    <n v="150"/>
    <n v="0"/>
    <n v="118.27956989247312"/>
  </r>
  <r>
    <n v="9"/>
    <s v="Carry"/>
    <x v="4"/>
    <x v="4"/>
    <n v="620"/>
    <n v="74"/>
    <n v="16"/>
    <n v="31"/>
    <n v="280"/>
    <n v="0"/>
    <n v="130.52631578947367"/>
  </r>
  <r>
    <n v="9"/>
    <s v="Carry"/>
    <x v="0"/>
    <x v="16"/>
    <n v="200"/>
    <n v="25"/>
    <n v="22.5"/>
    <n v="1.25"/>
    <n v="800"/>
    <n v="0"/>
    <n v="74.074074074074076"/>
  </r>
  <r>
    <n v="9"/>
    <s v="Carry"/>
    <x v="1"/>
    <x v="6"/>
    <s v=""/>
    <s v=""/>
    <s v=""/>
    <s v=""/>
    <s v=""/>
    <s v=""/>
    <s v=""/>
  </r>
  <r>
    <n v="9"/>
    <s v="Carry"/>
    <x v="2"/>
    <x v="1"/>
    <n v="300"/>
    <n v="24"/>
    <n v="8"/>
    <n v="20"/>
    <n v="120"/>
    <n v="0"/>
    <n v="150"/>
  </r>
  <r>
    <n v="9"/>
    <s v="Carry"/>
    <x v="3"/>
    <x v="17"/>
    <n v="420"/>
    <n v="44"/>
    <n v="44"/>
    <n v="7"/>
    <n v="1620"/>
    <n v="0"/>
    <n v="113.5135135135135"/>
  </r>
  <r>
    <n v="9"/>
    <s v="Carry"/>
    <x v="5"/>
    <x v="9"/>
    <n v="300"/>
    <n v="10.5"/>
    <n v="10.5"/>
    <n v="25.5"/>
    <n v="150"/>
    <n v="0"/>
    <n v="177.77777777777777"/>
  </r>
  <r>
    <n v="9"/>
    <s v="Carry"/>
    <x v="6"/>
    <x v="15"/>
    <n v="110"/>
    <n v="21"/>
    <n v="1"/>
    <n v="2"/>
    <n v="150"/>
    <n v="0"/>
    <n v="118.27956989247312"/>
  </r>
  <r>
    <n v="10"/>
    <s v="Carry"/>
    <x v="4"/>
    <x v="11"/>
    <n v="500"/>
    <n v="74"/>
    <n v="16"/>
    <n v="18"/>
    <n v="130"/>
    <n v="0"/>
    <n v="126.55024044545685"/>
  </r>
  <r>
    <n v="10"/>
    <s v="Carry"/>
    <x v="0"/>
    <x v="5"/>
    <n v="130"/>
    <n v="8"/>
    <n v="7"/>
    <n v="8"/>
    <n v="320"/>
    <n v="0"/>
    <n v="99.999999999999986"/>
  </r>
  <r>
    <n v="10"/>
    <s v="Carry"/>
    <x v="1"/>
    <x v="6"/>
    <s v=""/>
    <s v=""/>
    <s v=""/>
    <s v=""/>
    <s v=""/>
    <s v=""/>
    <s v=""/>
  </r>
  <r>
    <n v="10"/>
    <s v="Carry"/>
    <x v="2"/>
    <x v="2"/>
    <n v="280"/>
    <n v="34"/>
    <n v="2"/>
    <n v="17"/>
    <n v="0"/>
    <n v="0"/>
    <n v="140"/>
  </r>
  <r>
    <n v="10"/>
    <s v="Carry"/>
    <x v="3"/>
    <x v="14"/>
    <n v="480"/>
    <n v="84"/>
    <n v="30"/>
    <n v="3"/>
    <n v="1530"/>
    <n v="0"/>
    <n v="101.93905817174515"/>
  </r>
  <r>
    <n v="10"/>
    <s v="Carry"/>
    <x v="5"/>
    <x v="9"/>
    <n v="300"/>
    <n v="10.5"/>
    <n v="10.5"/>
    <n v="25.5"/>
    <n v="150"/>
    <n v="0"/>
    <n v="177.77777777777777"/>
  </r>
  <r>
    <n v="10"/>
    <s v="Carry"/>
    <x v="6"/>
    <x v="15"/>
    <n v="110"/>
    <n v="21"/>
    <n v="1"/>
    <n v="2"/>
    <n v="150"/>
    <n v="0"/>
    <n v="118.27956989247312"/>
  </r>
  <r>
    <n v="11"/>
    <s v="Muir Trail Ranch"/>
    <x v="4"/>
    <x v="25"/>
    <n v="1020"/>
    <n v="96"/>
    <n v="34"/>
    <n v="53"/>
    <n v="2460"/>
    <n v="0"/>
    <n v="0"/>
  </r>
  <r>
    <n v="11"/>
    <s v="Muir Trail Ranch"/>
    <x v="0"/>
    <x v="26"/>
    <n v="400"/>
    <n v="72"/>
    <n v="6"/>
    <n v="10"/>
    <n v="420"/>
    <n v="0"/>
    <n v="109.09090909090909"/>
  </r>
  <r>
    <n v="11"/>
    <s v="Muir Trail Ranch"/>
    <x v="1"/>
    <x v="0"/>
    <n v="122"/>
    <n v="18"/>
    <n v="9"/>
    <n v="7.5"/>
    <n v="105"/>
    <n v="0"/>
    <n v="0"/>
  </r>
  <r>
    <n v="11"/>
    <s v="Muir Trail Ranch"/>
    <x v="2"/>
    <x v="27"/>
    <n v="270"/>
    <n v="72"/>
    <n v="3"/>
    <n v="0"/>
    <n v="0"/>
    <n v="0"/>
    <n v="112.5"/>
  </r>
  <r>
    <n v="11"/>
    <s v="Muir Trail Ranch"/>
    <x v="3"/>
    <x v="8"/>
    <n v="1000"/>
    <n v="112"/>
    <n v="40"/>
    <n v="52"/>
    <n v="460"/>
    <n v="0"/>
    <n v="123.4567901234568"/>
  </r>
  <r>
    <n v="11"/>
    <s v="Muir Trail Ranch"/>
    <x v="5"/>
    <x v="6"/>
    <s v=""/>
    <s v=""/>
    <s v=""/>
    <s v=""/>
    <s v=""/>
    <s v=""/>
    <s v=""/>
  </r>
  <r>
    <n v="11"/>
    <s v="Muir Trail Ranch"/>
    <x v="6"/>
    <x v="18"/>
    <n v="540"/>
    <n v="72"/>
    <n v="14"/>
    <n v="22"/>
    <n v="780"/>
    <n v="0"/>
    <n v="117.39130434782609"/>
  </r>
  <r>
    <n v="12"/>
    <s v="Muir Trail Ranch"/>
    <x v="4"/>
    <x v="4"/>
    <n v="620"/>
    <n v="74"/>
    <n v="16"/>
    <n v="31"/>
    <n v="280"/>
    <n v="0"/>
    <n v="130.52631578947367"/>
  </r>
  <r>
    <n v="12"/>
    <s v="Muir Trail Ranch"/>
    <x v="0"/>
    <x v="7"/>
    <n v="665"/>
    <n v="0"/>
    <n v="35"/>
    <n v="56"/>
    <n v="2415"/>
    <n v="0"/>
    <n v="180.70652173913044"/>
  </r>
  <r>
    <n v="12"/>
    <s v="Muir Trail Ranch"/>
    <x v="1"/>
    <x v="0"/>
    <n v="122"/>
    <n v="18"/>
    <n v="9"/>
    <n v="7.5"/>
    <n v="105"/>
    <n v="0"/>
    <n v="0"/>
  </r>
  <r>
    <n v="12"/>
    <s v="Muir Trail Ranch"/>
    <x v="2"/>
    <x v="22"/>
    <n v="510"/>
    <n v="42"/>
    <n v="10.5"/>
    <n v="33"/>
    <n v="75"/>
    <n v="0"/>
    <n v="170"/>
  </r>
  <r>
    <n v="12"/>
    <s v="Muir Trail Ranch"/>
    <x v="3"/>
    <x v="24"/>
    <n v="960"/>
    <n v="178"/>
    <n v="34"/>
    <n v="12"/>
    <n v="1620"/>
    <n v="0"/>
    <n v="109.09090909090908"/>
  </r>
  <r>
    <n v="12"/>
    <s v="Muir Trail Ranch"/>
    <x v="5"/>
    <x v="9"/>
    <n v="300"/>
    <n v="10.5"/>
    <n v="10.5"/>
    <n v="25.5"/>
    <n v="150"/>
    <n v="0"/>
    <n v="177.77777777777777"/>
  </r>
  <r>
    <n v="12"/>
    <s v="Muir Trail Ranch"/>
    <x v="6"/>
    <x v="15"/>
    <n v="110"/>
    <n v="21"/>
    <n v="1"/>
    <n v="2"/>
    <n v="150"/>
    <n v="0"/>
    <n v="118.27956989247312"/>
  </r>
  <r>
    <n v="13"/>
    <s v="Muir Trail Ranch"/>
    <x v="4"/>
    <x v="11"/>
    <n v="500"/>
    <n v="74"/>
    <n v="16"/>
    <n v="18"/>
    <n v="130"/>
    <n v="0"/>
    <n v="126.55024044545685"/>
  </r>
  <r>
    <n v="13"/>
    <s v="Muir Trail Ranch"/>
    <x v="0"/>
    <x v="27"/>
    <n v="270"/>
    <n v="72"/>
    <n v="3"/>
    <n v="0"/>
    <n v="0"/>
    <n v="0"/>
    <n v="112.5"/>
  </r>
  <r>
    <n v="13"/>
    <s v="Muir Trail Ranch"/>
    <x v="1"/>
    <x v="6"/>
    <s v=""/>
    <s v=""/>
    <s v=""/>
    <s v=""/>
    <s v=""/>
    <s v=""/>
    <s v=""/>
  </r>
  <r>
    <n v="13"/>
    <s v="Muir Trail Ranch"/>
    <x v="2"/>
    <x v="1"/>
    <n v="300"/>
    <n v="24"/>
    <n v="8"/>
    <n v="20"/>
    <n v="120"/>
    <n v="0"/>
    <n v="150"/>
  </r>
  <r>
    <n v="13"/>
    <s v="Muir Trail Ranch"/>
    <x v="3"/>
    <x v="28"/>
    <n v="575"/>
    <n v="77.5"/>
    <n v="30"/>
    <n v="15"/>
    <n v="1950"/>
    <n v="0"/>
    <n v="117.2870984191739"/>
  </r>
  <r>
    <n v="13"/>
    <s v="Muir Trail Ranch"/>
    <x v="5"/>
    <x v="9"/>
    <n v="300"/>
    <n v="10.5"/>
    <n v="10.5"/>
    <n v="25.5"/>
    <n v="150"/>
    <n v="0"/>
    <n v="177.77777777777777"/>
  </r>
  <r>
    <n v="13"/>
    <s v="Muir Trail Ranch"/>
    <x v="6"/>
    <x v="10"/>
    <n v="540"/>
    <n v="105"/>
    <n v="6"/>
    <n v="12"/>
    <n v="240"/>
    <n v="0"/>
    <n v="117.64705882352942"/>
  </r>
  <r>
    <n v="14"/>
    <s v="Muir Trail Ranch"/>
    <x v="4"/>
    <x v="11"/>
    <n v="500"/>
    <n v="74"/>
    <n v="16"/>
    <n v="18"/>
    <n v="130"/>
    <n v="0"/>
    <n v="126.55024044545685"/>
  </r>
  <r>
    <n v="14"/>
    <s v="Muir Trail Ranch"/>
    <x v="0"/>
    <x v="2"/>
    <n v="280"/>
    <n v="34"/>
    <n v="2"/>
    <n v="17"/>
    <n v="0"/>
    <n v="0"/>
    <n v="140"/>
  </r>
  <r>
    <n v="14"/>
    <s v="Muir Trail Ranch"/>
    <x v="1"/>
    <x v="22"/>
    <n v="510"/>
    <n v="42"/>
    <n v="10.5"/>
    <n v="33"/>
    <n v="75"/>
    <n v="0"/>
    <n v="170"/>
  </r>
  <r>
    <n v="14"/>
    <s v="Muir Trail Ranch"/>
    <x v="2"/>
    <x v="1"/>
    <n v="300"/>
    <n v="24"/>
    <n v="8"/>
    <n v="20"/>
    <n v="120"/>
    <n v="0"/>
    <n v="150"/>
  </r>
  <r>
    <n v="14"/>
    <s v="Muir Trail Ranch"/>
    <x v="3"/>
    <x v="29"/>
    <n v="600"/>
    <n v="160"/>
    <n v="22"/>
    <n v="3"/>
    <n v="960"/>
    <n v="0"/>
    <n v="104.34782608695652"/>
  </r>
  <r>
    <n v="14"/>
    <s v="Muir Trail Ranch"/>
    <x v="5"/>
    <x v="9"/>
    <n v="300"/>
    <n v="10.5"/>
    <n v="10.5"/>
    <n v="25.5"/>
    <n v="150"/>
    <n v="0"/>
    <n v="177.77777777777777"/>
  </r>
  <r>
    <n v="14"/>
    <s v="Muir Trail Ranch"/>
    <x v="6"/>
    <x v="15"/>
    <n v="110"/>
    <n v="21"/>
    <n v="1"/>
    <n v="2"/>
    <n v="150"/>
    <n v="0"/>
    <n v="118.27956989247312"/>
  </r>
  <r>
    <n v="15"/>
    <s v="Vermillion Valley Resort"/>
    <x v="4"/>
    <x v="25"/>
    <n v="1020"/>
    <n v="96"/>
    <n v="34"/>
    <n v="53"/>
    <n v="2460"/>
    <n v="0"/>
    <n v="0"/>
  </r>
  <r>
    <n v="15"/>
    <s v="Vermillion Valley Resort"/>
    <x v="0"/>
    <x v="26"/>
    <n v="400"/>
    <n v="72"/>
    <n v="6"/>
    <n v="10"/>
    <n v="420"/>
    <n v="0"/>
    <n v="109.09090909090909"/>
  </r>
  <r>
    <n v="15"/>
    <s v="Vermillion Valley Resort"/>
    <x v="1"/>
    <x v="0"/>
    <n v="122"/>
    <n v="18"/>
    <n v="9"/>
    <n v="7.5"/>
    <n v="105"/>
    <n v="0"/>
    <n v="0"/>
  </r>
  <r>
    <n v="15"/>
    <s v="Vermillion Valley Resort"/>
    <x v="2"/>
    <x v="7"/>
    <n v="665"/>
    <n v="0"/>
    <n v="35"/>
    <n v="56"/>
    <n v="2415"/>
    <n v="0"/>
    <n v="180.70652173913044"/>
  </r>
  <r>
    <n v="15"/>
    <s v="Vermillion Valley Resort"/>
    <x v="3"/>
    <x v="30"/>
    <n v="960"/>
    <n v="93"/>
    <n v="39"/>
    <n v="45"/>
    <n v="2040"/>
    <n v="0"/>
    <n v="141.03819784524975"/>
  </r>
  <r>
    <n v="15"/>
    <s v="Vermillion Valley Resort"/>
    <x v="5"/>
    <x v="6"/>
    <s v=""/>
    <s v=""/>
    <s v=""/>
    <s v=""/>
    <s v=""/>
    <s v=""/>
    <s v=""/>
  </r>
  <r>
    <n v="15"/>
    <s v="Vermillion Valley Resort"/>
    <x v="6"/>
    <x v="15"/>
    <n v="110"/>
    <n v="21"/>
    <n v="1"/>
    <n v="2"/>
    <n v="150"/>
    <n v="0"/>
    <n v="118.27956989247312"/>
  </r>
  <r>
    <n v="16"/>
    <s v="Vermillion Valley Resort"/>
    <x v="4"/>
    <x v="31"/>
    <n v="380"/>
    <n v="70"/>
    <n v="4"/>
    <n v="10"/>
    <n v="380"/>
    <n v="0"/>
    <n v="107.80141843971631"/>
  </r>
  <r>
    <n v="16"/>
    <s v="Vermillion Valley Resort"/>
    <x v="0"/>
    <x v="31"/>
    <n v="380"/>
    <n v="70"/>
    <n v="4"/>
    <n v="10"/>
    <n v="380"/>
    <n v="0"/>
    <n v="107.80141843971631"/>
  </r>
  <r>
    <n v="16"/>
    <s v="Vermillion Valley Resort"/>
    <x v="1"/>
    <x v="0"/>
    <n v="122"/>
    <n v="18"/>
    <n v="9"/>
    <n v="7.5"/>
    <n v="105"/>
    <n v="0"/>
    <n v="0"/>
  </r>
  <r>
    <n v="16"/>
    <s v="Vermillion Valley Resort"/>
    <x v="2"/>
    <x v="32"/>
    <n v="325"/>
    <n v="40"/>
    <n v="2.5"/>
    <n v="17.5"/>
    <n v="25"/>
    <n v="0"/>
    <n v="156.25"/>
  </r>
  <r>
    <n v="16"/>
    <s v="Vermillion Valley Resort"/>
    <x v="3"/>
    <x v="8"/>
    <n v="1000"/>
    <n v="112"/>
    <n v="40"/>
    <n v="52"/>
    <n v="460"/>
    <n v="0"/>
    <n v="123.4567901234568"/>
  </r>
  <r>
    <n v="16"/>
    <s v="Vermillion Valley Resort"/>
    <x v="5"/>
    <x v="6"/>
    <s v=""/>
    <s v=""/>
    <s v=""/>
    <s v=""/>
    <s v=""/>
    <s v=""/>
    <s v=""/>
  </r>
  <r>
    <n v="16"/>
    <s v="Vermillion Valley Resort"/>
    <x v="6"/>
    <x v="18"/>
    <n v="540"/>
    <n v="72"/>
    <n v="14"/>
    <n v="22"/>
    <n v="780"/>
    <n v="0"/>
    <n v="117.39130434782609"/>
  </r>
  <r>
    <n v="17"/>
    <s v="Vermillion Valley Resort"/>
    <x v="4"/>
    <x v="4"/>
    <n v="620"/>
    <n v="74"/>
    <n v="16"/>
    <n v="31"/>
    <n v="280"/>
    <n v="0"/>
    <n v="130.52631578947367"/>
  </r>
  <r>
    <n v="17"/>
    <s v="Vermillion Valley Resort"/>
    <x v="0"/>
    <x v="7"/>
    <n v="665"/>
    <n v="0"/>
    <n v="35"/>
    <n v="56"/>
    <n v="2415"/>
    <n v="0"/>
    <n v="180.70652173913044"/>
  </r>
  <r>
    <n v="17"/>
    <s v="Vermillion Valley Resort"/>
    <x v="1"/>
    <x v="6"/>
    <s v=""/>
    <s v=""/>
    <s v=""/>
    <s v=""/>
    <s v=""/>
    <s v=""/>
    <s v=""/>
  </r>
  <r>
    <n v="17"/>
    <s v="Vermillion Valley Resort"/>
    <x v="2"/>
    <x v="22"/>
    <n v="510"/>
    <n v="42"/>
    <n v="10.5"/>
    <n v="33"/>
    <n v="75"/>
    <n v="0"/>
    <n v="170"/>
  </r>
  <r>
    <n v="17"/>
    <s v="Vermillion Valley Resort"/>
    <x v="3"/>
    <x v="24"/>
    <n v="960"/>
    <n v="178"/>
    <n v="34"/>
    <n v="12"/>
    <n v="1620"/>
    <n v="0"/>
    <n v="109.09090909090908"/>
  </r>
  <r>
    <n v="17"/>
    <s v="Vermillion Valley Resort"/>
    <x v="5"/>
    <x v="9"/>
    <n v="300"/>
    <n v="10.5"/>
    <n v="10.5"/>
    <n v="25.5"/>
    <n v="150"/>
    <n v="0"/>
    <n v="177.77777777777777"/>
  </r>
  <r>
    <n v="17"/>
    <s v="Vermillion Valley Resort"/>
    <x v="6"/>
    <x v="20"/>
    <n v="170"/>
    <n v="28"/>
    <n v="2"/>
    <n v="6"/>
    <n v="135"/>
    <n v="0"/>
    <n v="150.44247787610621"/>
  </r>
  <r>
    <n v="18"/>
    <s v="Vermillion Valley Resort"/>
    <x v="4"/>
    <x v="4"/>
    <n v="620"/>
    <n v="74"/>
    <n v="16"/>
    <n v="31"/>
    <n v="280"/>
    <n v="0"/>
    <n v="130.52631578947367"/>
  </r>
  <r>
    <n v="18"/>
    <s v="Vermillion Valley Resort"/>
    <x v="0"/>
    <x v="27"/>
    <n v="270"/>
    <n v="72"/>
    <n v="3"/>
    <n v="0"/>
    <n v="0"/>
    <n v="0"/>
    <n v="112.5"/>
  </r>
  <r>
    <n v="18"/>
    <s v="Vermillion Valley Resort"/>
    <x v="1"/>
    <x v="6"/>
    <s v=""/>
    <s v=""/>
    <s v=""/>
    <s v=""/>
    <s v=""/>
    <s v=""/>
    <s v=""/>
  </r>
  <r>
    <n v="18"/>
    <s v="Vermillion Valley Resort"/>
    <x v="2"/>
    <x v="21"/>
    <n v="225"/>
    <n v="30"/>
    <n v="20"/>
    <n v="3.75"/>
    <n v="875"/>
    <n v="0"/>
    <n v="83.333333333333329"/>
  </r>
  <r>
    <n v="18"/>
    <s v="Vermillion Valley Resort"/>
    <x v="3"/>
    <x v="19"/>
    <n v="620"/>
    <n v="90"/>
    <n v="28"/>
    <n v="20"/>
    <n v="1340"/>
    <n v="0"/>
    <n v="122.04724409448819"/>
  </r>
  <r>
    <n v="18"/>
    <s v="Vermillion Valley Resort"/>
    <x v="5"/>
    <x v="9"/>
    <n v="300"/>
    <n v="10.5"/>
    <n v="10.5"/>
    <n v="25.5"/>
    <n v="150"/>
    <n v="0"/>
    <n v="177.77777777777777"/>
  </r>
  <r>
    <n v="18"/>
    <s v="Vermillion Valley Resort"/>
    <x v="6"/>
    <x v="15"/>
    <n v="110"/>
    <n v="21"/>
    <n v="1"/>
    <n v="2"/>
    <n v="150"/>
    <n v="0"/>
    <n v="118.27956989247312"/>
  </r>
  <r>
    <n v="19"/>
    <s v="Vermillion Valley Resort"/>
    <x v="4"/>
    <x v="4"/>
    <n v="620"/>
    <n v="74"/>
    <n v="16"/>
    <n v="31"/>
    <n v="280"/>
    <n v="0"/>
    <n v="130.52631578947367"/>
  </r>
  <r>
    <n v="19"/>
    <s v="Vermillion Valley Resort"/>
    <x v="0"/>
    <x v="16"/>
    <n v="200"/>
    <n v="25"/>
    <n v="22.5"/>
    <n v="1.25"/>
    <n v="800"/>
    <n v="0"/>
    <n v="74.074074074074076"/>
  </r>
  <r>
    <n v="19"/>
    <s v="Vermillion Valley Resort"/>
    <x v="1"/>
    <x v="6"/>
    <s v=""/>
    <s v=""/>
    <s v=""/>
    <s v=""/>
    <s v=""/>
    <s v=""/>
    <s v=""/>
  </r>
  <r>
    <n v="19"/>
    <s v="Vermillion Valley Resort"/>
    <x v="2"/>
    <x v="1"/>
    <n v="300"/>
    <n v="24"/>
    <n v="8"/>
    <n v="20"/>
    <n v="120"/>
    <n v="0"/>
    <n v="150"/>
  </r>
  <r>
    <n v="19"/>
    <s v="Vermillion Valley Resort"/>
    <x v="3"/>
    <x v="33"/>
    <n v="620"/>
    <n v="144"/>
    <n v="28"/>
    <n v="7"/>
    <n v="1160"/>
    <n v="0"/>
    <n v="103.33333333333333"/>
  </r>
  <r>
    <n v="19"/>
    <s v="Vermillion Valley Resort"/>
    <x v="5"/>
    <x v="9"/>
    <n v="300"/>
    <n v="10.5"/>
    <n v="10.5"/>
    <n v="25.5"/>
    <n v="150"/>
    <n v="0"/>
    <n v="177.77777777777777"/>
  </r>
  <r>
    <n v="19"/>
    <s v="Vermillion Valley Resort"/>
    <x v="6"/>
    <x v="15"/>
    <n v="110"/>
    <n v="21"/>
    <n v="1"/>
    <n v="2"/>
    <n v="150"/>
    <n v="0"/>
    <n v="118.27956989247312"/>
  </r>
  <r>
    <n v="20"/>
    <s v="Vermillion Valley Resort"/>
    <x v="4"/>
    <x v="11"/>
    <n v="500"/>
    <n v="74"/>
    <n v="16"/>
    <n v="18"/>
    <n v="130"/>
    <n v="0"/>
    <n v="126.55024044545685"/>
  </r>
  <r>
    <n v="20"/>
    <s v="Vermillion Valley Resort"/>
    <x v="0"/>
    <x v="32"/>
    <n v="325"/>
    <n v="40"/>
    <n v="2.5"/>
    <n v="17.5"/>
    <n v="25"/>
    <n v="0"/>
    <n v="156.25"/>
  </r>
  <r>
    <n v="20"/>
    <s v="Vermillion Valley Resort"/>
    <x v="1"/>
    <x v="6"/>
    <s v=""/>
    <s v=""/>
    <s v=""/>
    <s v=""/>
    <s v=""/>
    <s v=""/>
    <s v=""/>
  </r>
  <r>
    <n v="20"/>
    <s v="Vermillion Valley Resort"/>
    <x v="2"/>
    <x v="7"/>
    <n v="665"/>
    <n v="0"/>
    <n v="35"/>
    <n v="56"/>
    <n v="2415"/>
    <n v="0"/>
    <n v="180.70652173913044"/>
  </r>
  <r>
    <n v="20"/>
    <s v="Vermillion Valley Resort"/>
    <x v="3"/>
    <x v="29"/>
    <n v="600"/>
    <n v="160"/>
    <n v="22"/>
    <n v="3"/>
    <n v="960"/>
    <n v="0"/>
    <n v="104.34782608695652"/>
  </r>
  <r>
    <n v="20"/>
    <s v="Vermillion Valley Resort"/>
    <x v="5"/>
    <x v="9"/>
    <n v="300"/>
    <n v="10.5"/>
    <n v="10.5"/>
    <n v="25.5"/>
    <n v="150"/>
    <n v="0"/>
    <n v="177.77777777777777"/>
  </r>
  <r>
    <n v="20"/>
    <s v="Vermillion Valley Resort"/>
    <x v="6"/>
    <x v="20"/>
    <n v="170"/>
    <n v="28"/>
    <n v="2"/>
    <n v="6"/>
    <n v="135"/>
    <n v="0"/>
    <n v="150.44247787610621"/>
  </r>
  <r>
    <n v="21"/>
    <s v="Red's Meadow Resort"/>
    <x v="4"/>
    <x v="25"/>
    <n v="1020"/>
    <n v="96"/>
    <n v="34"/>
    <n v="53"/>
    <n v="2460"/>
    <n v="0"/>
    <n v="0"/>
  </r>
  <r>
    <n v="21"/>
    <s v="Red's Meadow Resort"/>
    <x v="0"/>
    <x v="26"/>
    <n v="400"/>
    <n v="72"/>
    <n v="6"/>
    <n v="10"/>
    <n v="420"/>
    <n v="0"/>
    <n v="109.09090909090909"/>
  </r>
  <r>
    <n v="21"/>
    <s v="Red's Meadow Resort"/>
    <x v="1"/>
    <x v="0"/>
    <n v="122"/>
    <n v="18"/>
    <n v="9"/>
    <n v="7.5"/>
    <n v="105"/>
    <n v="0"/>
    <n v="0"/>
  </r>
  <r>
    <n v="21"/>
    <s v="Red's Meadow Resort"/>
    <x v="2"/>
    <x v="7"/>
    <n v="665"/>
    <n v="0"/>
    <n v="35"/>
    <n v="56"/>
    <n v="2415"/>
    <n v="0"/>
    <n v="180.70652173913044"/>
  </r>
  <r>
    <n v="21"/>
    <s v="Red's Meadow Resort"/>
    <x v="3"/>
    <x v="34"/>
    <n v="380"/>
    <n v="66"/>
    <n v="8"/>
    <n v="10"/>
    <n v="500"/>
    <n v="0"/>
    <n v="118.75"/>
  </r>
  <r>
    <n v="21"/>
    <s v="Red's Meadow Resort"/>
    <x v="5"/>
    <x v="6"/>
    <s v=""/>
    <s v=""/>
    <s v=""/>
    <s v=""/>
    <s v=""/>
    <s v=""/>
    <s v=""/>
  </r>
  <r>
    <n v="21"/>
    <s v="Red's Meadow Resort"/>
    <x v="6"/>
    <x v="15"/>
    <n v="110"/>
    <n v="21"/>
    <n v="1"/>
    <n v="2"/>
    <n v="150"/>
    <n v="0"/>
    <n v="118.27956989247312"/>
  </r>
  <r>
    <n v="22"/>
    <s v="Red's Meadow Resort"/>
    <x v="4"/>
    <x v="31"/>
    <n v="380"/>
    <n v="70"/>
    <n v="4"/>
    <n v="10"/>
    <n v="380"/>
    <n v="0"/>
    <n v="107.80141843971631"/>
  </r>
  <r>
    <n v="22"/>
    <s v="Red's Meadow Resort"/>
    <x v="0"/>
    <x v="26"/>
    <n v="400"/>
    <n v="72"/>
    <n v="6"/>
    <n v="10"/>
    <n v="420"/>
    <n v="0"/>
    <n v="109.09090909090909"/>
  </r>
  <r>
    <n v="22"/>
    <s v="Red's Meadow Resort"/>
    <x v="1"/>
    <x v="0"/>
    <n v="122"/>
    <n v="18"/>
    <n v="9"/>
    <n v="7.5"/>
    <n v="105"/>
    <n v="0"/>
    <n v="0"/>
  </r>
  <r>
    <n v="22"/>
    <s v="Red's Meadow Resort"/>
    <x v="2"/>
    <x v="7"/>
    <n v="665"/>
    <n v="0"/>
    <n v="35"/>
    <n v="56"/>
    <n v="2415"/>
    <n v="0"/>
    <n v="180.70652173913044"/>
  </r>
  <r>
    <n v="22"/>
    <s v="Red's Meadow Resort"/>
    <x v="3"/>
    <x v="24"/>
    <n v="960"/>
    <n v="178"/>
    <n v="34"/>
    <n v="12"/>
    <n v="1620"/>
    <n v="0"/>
    <n v="109.09090909090908"/>
  </r>
  <r>
    <n v="22"/>
    <s v="Red's Meadow Resort"/>
    <x v="5"/>
    <x v="6"/>
    <s v=""/>
    <s v=""/>
    <s v=""/>
    <s v=""/>
    <s v=""/>
    <s v=""/>
    <s v=""/>
  </r>
  <r>
    <n v="22"/>
    <s v="Red's Meadow Resort"/>
    <x v="6"/>
    <x v="18"/>
    <n v="540"/>
    <n v="72"/>
    <n v="14"/>
    <n v="22"/>
    <n v="780"/>
    <n v="0"/>
    <n v="117.39130434782609"/>
  </r>
  <r>
    <n v="23"/>
    <s v="Red's Meadow Resort"/>
    <x v="4"/>
    <x v="4"/>
    <n v="620"/>
    <n v="74"/>
    <n v="16"/>
    <n v="31"/>
    <n v="280"/>
    <n v="0"/>
    <n v="130.52631578947367"/>
  </r>
  <r>
    <n v="23"/>
    <s v="Red's Meadow Resort"/>
    <x v="0"/>
    <x v="7"/>
    <n v="665"/>
    <n v="0"/>
    <n v="35"/>
    <n v="56"/>
    <n v="2415"/>
    <n v="0"/>
    <n v="180.70652173913044"/>
  </r>
  <r>
    <n v="23"/>
    <s v="Red's Meadow Resort"/>
    <x v="1"/>
    <x v="6"/>
    <s v=""/>
    <s v=""/>
    <s v=""/>
    <s v=""/>
    <s v=""/>
    <s v=""/>
    <s v=""/>
  </r>
  <r>
    <n v="23"/>
    <s v="Red's Meadow Resort"/>
    <x v="2"/>
    <x v="22"/>
    <n v="510"/>
    <n v="42"/>
    <n v="10.5"/>
    <n v="33"/>
    <n v="75"/>
    <n v="0"/>
    <n v="170"/>
  </r>
  <r>
    <n v="23"/>
    <s v="Red's Meadow Resort"/>
    <x v="3"/>
    <x v="14"/>
    <n v="480"/>
    <n v="84"/>
    <n v="30"/>
    <n v="3"/>
    <n v="1530"/>
    <n v="0"/>
    <n v="101.93905817174515"/>
  </r>
  <r>
    <n v="23"/>
    <s v="Red's Meadow Resort"/>
    <x v="5"/>
    <x v="9"/>
    <n v="300"/>
    <n v="10.5"/>
    <n v="10.5"/>
    <n v="25.5"/>
    <n v="150"/>
    <n v="0"/>
    <n v="177.77777777777777"/>
  </r>
  <r>
    <n v="23"/>
    <s v="Red's Meadow Resort"/>
    <x v="6"/>
    <x v="35"/>
    <n v="200"/>
    <n v="31"/>
    <n v="2"/>
    <n v="8"/>
    <n v="30"/>
    <n v="0"/>
    <n v="133.33333333333334"/>
  </r>
  <r>
    <n v="24"/>
    <s v="Red's Meadow Resort"/>
    <x v="4"/>
    <x v="4"/>
    <n v="620"/>
    <n v="74"/>
    <n v="16"/>
    <n v="31"/>
    <n v="280"/>
    <n v="0"/>
    <n v="130.52631578947367"/>
  </r>
  <r>
    <n v="24"/>
    <s v="Red's Meadow Resort"/>
    <x v="0"/>
    <x v="1"/>
    <n v="300"/>
    <n v="24"/>
    <n v="8"/>
    <n v="20"/>
    <n v="120"/>
    <n v="0"/>
    <n v="150"/>
  </r>
  <r>
    <n v="24"/>
    <s v="Red's Meadow Resort"/>
    <x v="1"/>
    <x v="6"/>
    <s v=""/>
    <s v=""/>
    <s v=""/>
    <s v=""/>
    <s v=""/>
    <s v=""/>
    <s v=""/>
  </r>
  <r>
    <n v="24"/>
    <s v="Red's Meadow Resort"/>
    <x v="2"/>
    <x v="12"/>
    <n v="250"/>
    <n v="33"/>
    <n v="4"/>
    <n v="12"/>
    <n v="120"/>
    <n v="0"/>
    <n v="134.40860215053763"/>
  </r>
  <r>
    <n v="24"/>
    <s v="Red's Meadow Resort"/>
    <x v="3"/>
    <x v="17"/>
    <n v="420"/>
    <n v="44"/>
    <n v="44"/>
    <n v="7"/>
    <n v="1620"/>
    <n v="0"/>
    <n v="113.5135135135135"/>
  </r>
  <r>
    <n v="24"/>
    <s v="Red's Meadow Resort"/>
    <x v="5"/>
    <x v="9"/>
    <n v="300"/>
    <n v="10.5"/>
    <n v="10.5"/>
    <n v="25.5"/>
    <n v="150"/>
    <n v="0"/>
    <n v="177.77777777777777"/>
  </r>
  <r>
    <n v="24"/>
    <s v="Red's Meadow Resort"/>
    <x v="6"/>
    <x v="15"/>
    <n v="110"/>
    <n v="21"/>
    <n v="1"/>
    <n v="2"/>
    <n v="150"/>
    <n v="0"/>
    <n v="118.27956989247312"/>
  </r>
  <r>
    <n v="25"/>
    <s v="Red's Meadow Resort"/>
    <x v="4"/>
    <x v="11"/>
    <n v="500"/>
    <n v="74"/>
    <n v="16"/>
    <n v="18"/>
    <n v="130"/>
    <n v="0"/>
    <n v="126.55024044545685"/>
  </r>
  <r>
    <n v="25"/>
    <s v="Red's Meadow Resort"/>
    <x v="0"/>
    <x v="16"/>
    <n v="200"/>
    <n v="25"/>
    <n v="22.5"/>
    <n v="1.25"/>
    <n v="800"/>
    <n v="0"/>
    <n v="74.074074074074076"/>
  </r>
  <r>
    <n v="25"/>
    <s v="Red's Meadow Resort"/>
    <x v="1"/>
    <x v="6"/>
    <s v=""/>
    <s v=""/>
    <s v=""/>
    <s v=""/>
    <s v=""/>
    <s v=""/>
    <s v=""/>
  </r>
  <r>
    <n v="25"/>
    <s v="Red's Meadow Resort"/>
    <x v="2"/>
    <x v="2"/>
    <n v="280"/>
    <n v="34"/>
    <n v="2"/>
    <n v="17"/>
    <n v="0"/>
    <n v="0"/>
    <n v="140"/>
  </r>
  <r>
    <n v="25"/>
    <s v="Red's Meadow Resort"/>
    <x v="3"/>
    <x v="30"/>
    <n v="960"/>
    <n v="93"/>
    <n v="39"/>
    <n v="45"/>
    <n v="2040"/>
    <n v="0"/>
    <n v="141.03819784524975"/>
  </r>
  <r>
    <n v="25"/>
    <s v="Red's Meadow Resort"/>
    <x v="5"/>
    <x v="9"/>
    <n v="300"/>
    <n v="10.5"/>
    <n v="10.5"/>
    <n v="25.5"/>
    <n v="150"/>
    <n v="0"/>
    <n v="177.77777777777777"/>
  </r>
  <r>
    <n v="25"/>
    <s v="Red's Meadow Resort"/>
    <x v="6"/>
    <x v="15"/>
    <n v="110"/>
    <n v="21"/>
    <n v="1"/>
    <n v="2"/>
    <n v="150"/>
    <n v="0"/>
    <n v="118.27956989247312"/>
  </r>
  <r>
    <n v="26"/>
    <s v="Red's Meadow Resort"/>
    <x v="4"/>
    <x v="12"/>
    <n v="250"/>
    <n v="33"/>
    <n v="4"/>
    <n v="12"/>
    <n v="120"/>
    <n v="0"/>
    <n v="134.40860215053763"/>
  </r>
  <r>
    <n v="26"/>
    <s v="Red's Meadow Resort"/>
    <x v="0"/>
    <x v="1"/>
    <n v="300"/>
    <n v="24"/>
    <n v="8"/>
    <n v="20"/>
    <n v="120"/>
    <n v="0"/>
    <n v="150"/>
  </r>
  <r>
    <n v="26"/>
    <s v="Red's Meadow Resort"/>
    <x v="1"/>
    <x v="6"/>
    <s v=""/>
    <s v=""/>
    <s v=""/>
    <s v=""/>
    <s v=""/>
    <s v=""/>
    <s v=""/>
  </r>
  <r>
    <n v="26"/>
    <s v="Red's Meadow Resort"/>
    <x v="2"/>
    <x v="22"/>
    <n v="510"/>
    <n v="42"/>
    <n v="10.5"/>
    <n v="33"/>
    <n v="75"/>
    <n v="0"/>
    <n v="170"/>
  </r>
  <r>
    <n v="26"/>
    <s v="Red's Meadow Resort"/>
    <x v="3"/>
    <x v="19"/>
    <n v="620"/>
    <n v="90"/>
    <n v="28"/>
    <n v="20"/>
    <n v="1340"/>
    <n v="0"/>
    <n v="122.04724409448819"/>
  </r>
  <r>
    <n v="26"/>
    <s v="Red's Meadow Resort"/>
    <x v="5"/>
    <x v="9"/>
    <n v="300"/>
    <n v="10.5"/>
    <n v="10.5"/>
    <n v="25.5"/>
    <n v="150"/>
    <n v="0"/>
    <n v="177.77777777777777"/>
  </r>
  <r>
    <n v="26"/>
    <s v="Red's Meadow Resort"/>
    <x v="6"/>
    <x v="10"/>
    <n v="540"/>
    <n v="105"/>
    <n v="6"/>
    <n v="12"/>
    <n v="240"/>
    <n v="0"/>
    <n v="117.64705882352942"/>
  </r>
  <r>
    <n v="27"/>
    <s v="Red's Meadow Resort"/>
    <x v="4"/>
    <x v="4"/>
    <n v="620"/>
    <n v="74"/>
    <n v="16"/>
    <n v="31"/>
    <n v="280"/>
    <n v="0"/>
    <n v="130.52631578947367"/>
  </r>
  <r>
    <n v="27"/>
    <s v="Red's Meadow Resort"/>
    <x v="0"/>
    <x v="5"/>
    <n v="130"/>
    <n v="8"/>
    <n v="7"/>
    <n v="8"/>
    <n v="320"/>
    <n v="0"/>
    <n v="99.999999999999986"/>
  </r>
  <r>
    <n v="27"/>
    <s v="Red's Meadow Resort"/>
    <x v="1"/>
    <x v="6"/>
    <s v=""/>
    <s v=""/>
    <s v=""/>
    <s v=""/>
    <s v=""/>
    <s v=""/>
    <s v=""/>
  </r>
  <r>
    <n v="27"/>
    <s v="Red's Meadow Resort"/>
    <x v="2"/>
    <x v="13"/>
    <n v="280"/>
    <n v="29"/>
    <n v="20"/>
    <n v="10"/>
    <n v="360"/>
    <n v="0"/>
    <n v="116.66666666666667"/>
  </r>
  <r>
    <n v="27"/>
    <s v="Red's Meadow Resort"/>
    <x v="3"/>
    <x v="36"/>
    <n v="520"/>
    <n v="104"/>
    <n v="22"/>
    <n v="6"/>
    <n v="1360"/>
    <n v="0"/>
    <n v="92.857142857142861"/>
  </r>
  <r>
    <n v="27"/>
    <s v="Red's Meadow Resort"/>
    <x v="5"/>
    <x v="9"/>
    <n v="300"/>
    <n v="10.5"/>
    <n v="10.5"/>
    <n v="25.5"/>
    <n v="150"/>
    <n v="0"/>
    <n v="177.77777777777777"/>
  </r>
  <r>
    <n v="27"/>
    <s v="Red's Meadow Resort"/>
    <x v="6"/>
    <x v="15"/>
    <n v="110"/>
    <n v="21"/>
    <n v="1"/>
    <n v="2"/>
    <n v="150"/>
    <n v="0"/>
    <n v="118.27956989247312"/>
  </r>
  <r>
    <n v="28"/>
    <s v="Red's Meadow Resort"/>
    <x v="4"/>
    <x v="12"/>
    <n v="250"/>
    <n v="33"/>
    <n v="4"/>
    <n v="12"/>
    <n v="120"/>
    <n v="0"/>
    <n v="134.40860215053763"/>
  </r>
  <r>
    <n v="28"/>
    <s v="Red's Meadow Resort"/>
    <x v="0"/>
    <x v="27"/>
    <n v="270"/>
    <n v="72"/>
    <n v="3"/>
    <n v="0"/>
    <n v="0"/>
    <n v="0"/>
    <n v="112.5"/>
  </r>
  <r>
    <n v="28"/>
    <s v="Red's Meadow Resort"/>
    <x v="1"/>
    <x v="6"/>
    <s v=""/>
    <s v=""/>
    <s v=""/>
    <s v=""/>
    <s v=""/>
    <s v=""/>
    <s v=""/>
  </r>
  <r>
    <n v="28"/>
    <s v="Red's Meadow Resort"/>
    <x v="2"/>
    <x v="22"/>
    <n v="510"/>
    <n v="42"/>
    <n v="10.5"/>
    <n v="33"/>
    <n v="75"/>
    <n v="0"/>
    <n v="170"/>
  </r>
  <r>
    <n v="28"/>
    <s v="Red's Meadow Resort"/>
    <x v="3"/>
    <x v="33"/>
    <n v="620"/>
    <n v="144"/>
    <n v="28"/>
    <n v="7"/>
    <n v="1160"/>
    <n v="0"/>
    <n v="103.33333333333333"/>
  </r>
  <r>
    <n v="28"/>
    <s v="Red's Meadow Resort"/>
    <x v="5"/>
    <x v="9"/>
    <n v="300"/>
    <n v="10.5"/>
    <n v="10.5"/>
    <n v="25.5"/>
    <n v="150"/>
    <n v="0"/>
    <n v="177.77777777777777"/>
  </r>
  <r>
    <n v="28"/>
    <s v="Red's Meadow Resort"/>
    <x v="6"/>
    <x v="15"/>
    <n v="110"/>
    <n v="21"/>
    <n v="1"/>
    <n v="2"/>
    <n v="150"/>
    <n v="0"/>
    <n v="118.27956989247312"/>
  </r>
  <r>
    <n v="29"/>
    <s v="Red's Meadow Resort"/>
    <x v="4"/>
    <x v="4"/>
    <n v="620"/>
    <n v="74"/>
    <n v="16"/>
    <n v="31"/>
    <n v="280"/>
    <n v="0"/>
    <n v="130.52631578947367"/>
  </r>
  <r>
    <n v="29"/>
    <s v="Red's Meadow Resort"/>
    <x v="0"/>
    <x v="2"/>
    <n v="280"/>
    <n v="34"/>
    <n v="2"/>
    <n v="17"/>
    <n v="0"/>
    <n v="0"/>
    <n v="140"/>
  </r>
  <r>
    <n v="29"/>
    <s v="Red's Meadow Resort"/>
    <x v="1"/>
    <x v="6"/>
    <s v=""/>
    <s v=""/>
    <s v=""/>
    <s v=""/>
    <s v=""/>
    <s v=""/>
    <s v=""/>
  </r>
  <r>
    <n v="29"/>
    <s v="Red's Meadow Resort"/>
    <x v="2"/>
    <x v="12"/>
    <n v="250"/>
    <n v="33"/>
    <n v="4"/>
    <n v="12"/>
    <n v="120"/>
    <n v="0"/>
    <n v="134.40860215053763"/>
  </r>
  <r>
    <n v="29"/>
    <s v="Red's Meadow Resort"/>
    <x v="3"/>
    <x v="8"/>
    <n v="1000"/>
    <n v="112"/>
    <n v="40"/>
    <n v="52"/>
    <n v="460"/>
    <n v="0"/>
    <n v="123.4567901234568"/>
  </r>
  <r>
    <n v="29"/>
    <s v="Red's Meadow Resort"/>
    <x v="5"/>
    <x v="9"/>
    <n v="300"/>
    <n v="10.5"/>
    <n v="10.5"/>
    <n v="25.5"/>
    <n v="150"/>
    <n v="0"/>
    <n v="177.77777777777777"/>
  </r>
  <r>
    <n v="29"/>
    <s v="Red's Meadow Resort"/>
    <x v="6"/>
    <x v="15"/>
    <n v="110"/>
    <n v="21"/>
    <n v="1"/>
    <n v="2"/>
    <n v="150"/>
    <n v="0"/>
    <n v="118.2795698924731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n v="0"/>
    <s v="Carry"/>
    <x v="0"/>
    <x v="0"/>
    <m/>
    <m/>
    <m/>
    <m/>
    <m/>
    <m/>
    <m/>
  </r>
  <r>
    <n v="0"/>
    <s v="Carry"/>
    <x v="1"/>
    <x v="1"/>
    <n v="580"/>
    <n v="84"/>
    <n v="50"/>
    <n v="10"/>
    <n v="1500"/>
    <n v="0"/>
    <n v="96.666666666666671"/>
  </r>
  <r>
    <n v="0"/>
    <s v="Carry"/>
    <x v="2"/>
    <x v="2"/>
    <n v="270"/>
    <n v="72"/>
    <n v="3"/>
    <n v="0"/>
    <n v="0"/>
    <n v="0"/>
    <n v="112.5"/>
  </r>
  <r>
    <n v="0"/>
    <s v="Carry"/>
    <x v="3"/>
    <x v="3"/>
    <n v="960"/>
    <n v="178"/>
    <n v="34"/>
    <n v="12"/>
    <n v="1620"/>
    <n v="0"/>
    <n v="109.09090909090908"/>
  </r>
  <r>
    <n v="1"/>
    <s v="Carry"/>
    <x v="4"/>
    <x v="4"/>
    <n v="620"/>
    <n v="74"/>
    <n v="16"/>
    <n v="31"/>
    <n v="280"/>
    <n v="0"/>
    <n v="130.52631578947367"/>
  </r>
  <r>
    <n v="1"/>
    <s v="Carry"/>
    <x v="0"/>
    <x v="5"/>
    <n v="510"/>
    <n v="42"/>
    <n v="10.5"/>
    <n v="33"/>
    <n v="75"/>
    <n v="0"/>
    <n v="170"/>
  </r>
  <r>
    <n v="1"/>
    <s v="Carry"/>
    <x v="1"/>
    <x v="6"/>
    <s v=""/>
    <s v=""/>
    <s v=""/>
    <s v=""/>
    <s v=""/>
    <s v=""/>
    <s v=""/>
  </r>
  <r>
    <n v="1"/>
    <s v="Carry"/>
    <x v="2"/>
    <x v="2"/>
    <n v="270"/>
    <n v="72"/>
    <n v="3"/>
    <n v="0"/>
    <n v="0"/>
    <n v="0"/>
    <n v="112.5"/>
  </r>
  <r>
    <n v="1"/>
    <s v="Carry"/>
    <x v="3"/>
    <x v="7"/>
    <n v="575"/>
    <n v="77.5"/>
    <n v="30"/>
    <n v="15"/>
    <n v="1950"/>
    <n v="0"/>
    <n v="117.2870984191739"/>
  </r>
  <r>
    <n v="1"/>
    <s v="Carry"/>
    <x v="5"/>
    <x v="8"/>
    <n v="300"/>
    <n v="10.5"/>
    <n v="10.5"/>
    <n v="25.5"/>
    <n v="150"/>
    <n v="0"/>
    <n v="177.77777777777777"/>
  </r>
  <r>
    <n v="1"/>
    <s v="Carry"/>
    <x v="6"/>
    <x v="9"/>
    <n v="540"/>
    <n v="105"/>
    <n v="6"/>
    <n v="12"/>
    <n v="240"/>
    <n v="0"/>
    <n v="117.64705882352942"/>
  </r>
  <r>
    <n v="2"/>
    <s v="Carry"/>
    <x v="4"/>
    <x v="10"/>
    <n v="400"/>
    <n v="72"/>
    <n v="6"/>
    <n v="10"/>
    <n v="420"/>
    <n v="0"/>
    <n v="109.09090909090909"/>
  </r>
  <r>
    <n v="2"/>
    <s v="Carry"/>
    <x v="0"/>
    <x v="11"/>
    <n v="270"/>
    <n v="30"/>
    <n v="20"/>
    <n v="9"/>
    <n v="200"/>
    <n v="0"/>
    <n v="112.5"/>
  </r>
  <r>
    <n v="2"/>
    <s v="Carry"/>
    <x v="1"/>
    <x v="6"/>
    <s v=""/>
    <s v=""/>
    <s v=""/>
    <s v=""/>
    <s v=""/>
    <s v=""/>
    <s v=""/>
  </r>
  <r>
    <n v="2"/>
    <s v="Carry"/>
    <x v="2"/>
    <x v="12"/>
    <n v="130"/>
    <n v="8"/>
    <n v="7"/>
    <n v="8"/>
    <n v="320"/>
    <n v="0"/>
    <n v="99.999999999999986"/>
  </r>
  <r>
    <n v="2"/>
    <s v="Carry"/>
    <x v="3"/>
    <x v="13"/>
    <n v="520"/>
    <n v="104"/>
    <n v="22"/>
    <n v="6"/>
    <n v="1360"/>
    <n v="0"/>
    <n v="92.857142857142861"/>
  </r>
  <r>
    <n v="2"/>
    <s v="Carry"/>
    <x v="5"/>
    <x v="8"/>
    <n v="300"/>
    <n v="10.5"/>
    <n v="10.5"/>
    <n v="25.5"/>
    <n v="150"/>
    <n v="0"/>
    <n v="177.77777777777777"/>
  </r>
  <r>
    <n v="2"/>
    <s v="Carry"/>
    <x v="6"/>
    <x v="14"/>
    <n v="540"/>
    <n v="72"/>
    <n v="14"/>
    <n v="22"/>
    <n v="780"/>
    <n v="0"/>
    <n v="117.39130434782609"/>
  </r>
  <r>
    <n v="3"/>
    <s v="Carry"/>
    <x v="4"/>
    <x v="15"/>
    <n v="500"/>
    <n v="74"/>
    <n v="16"/>
    <n v="18"/>
    <n v="130"/>
    <n v="0"/>
    <n v="126.55024044545685"/>
  </r>
  <r>
    <n v="3"/>
    <s v="Carry"/>
    <x v="0"/>
    <x v="16"/>
    <n v="280"/>
    <n v="34"/>
    <n v="2"/>
    <n v="17"/>
    <n v="0"/>
    <n v="0"/>
    <n v="140"/>
  </r>
  <r>
    <n v="3"/>
    <s v="Carry"/>
    <x v="1"/>
    <x v="6"/>
    <s v=""/>
    <s v=""/>
    <s v=""/>
    <s v=""/>
    <s v=""/>
    <s v=""/>
    <s v=""/>
  </r>
  <r>
    <n v="3"/>
    <s v="Carry"/>
    <x v="2"/>
    <x v="17"/>
    <n v="325"/>
    <n v="40"/>
    <n v="2.5"/>
    <n v="17.5"/>
    <n v="25"/>
    <n v="0"/>
    <n v="156.25"/>
  </r>
  <r>
    <n v="3"/>
    <s v="Carry"/>
    <x v="3"/>
    <x v="18"/>
    <n v="620"/>
    <n v="124"/>
    <n v="22"/>
    <n v="7"/>
    <n v="360"/>
    <n v="0"/>
    <n v="103.33333333333333"/>
  </r>
  <r>
    <n v="3"/>
    <s v="Carry"/>
    <x v="5"/>
    <x v="8"/>
    <n v="300"/>
    <n v="10.5"/>
    <n v="10.5"/>
    <n v="25.5"/>
    <n v="150"/>
    <n v="0"/>
    <n v="177.77777777777777"/>
  </r>
  <r>
    <n v="3"/>
    <s v="Carry"/>
    <x v="6"/>
    <x v="19"/>
    <n v="500"/>
    <n v="108"/>
    <n v="10"/>
    <n v="5"/>
    <n v="680"/>
    <n v="0"/>
    <n v="111.11111111111111"/>
  </r>
  <r>
    <n v="4"/>
    <s v="Carry"/>
    <x v="4"/>
    <x v="4"/>
    <n v="620"/>
    <n v="74"/>
    <n v="16"/>
    <n v="31"/>
    <n v="280"/>
    <n v="0"/>
    <n v="130.52631578947367"/>
  </r>
  <r>
    <n v="4"/>
    <s v="Carry"/>
    <x v="0"/>
    <x v="5"/>
    <n v="510"/>
    <n v="42"/>
    <n v="10.5"/>
    <n v="33"/>
    <n v="75"/>
    <n v="0"/>
    <n v="170"/>
  </r>
  <r>
    <n v="4"/>
    <s v="Carry"/>
    <x v="1"/>
    <x v="6"/>
    <s v=""/>
    <s v=""/>
    <s v=""/>
    <s v=""/>
    <s v=""/>
    <s v=""/>
    <s v=""/>
  </r>
  <r>
    <n v="4"/>
    <s v="Carry"/>
    <x v="2"/>
    <x v="20"/>
    <n v="665"/>
    <n v="0"/>
    <n v="35"/>
    <n v="56"/>
    <n v="2415"/>
    <n v="0"/>
    <n v="180.70652173913044"/>
  </r>
  <r>
    <n v="4"/>
    <s v="Carry"/>
    <x v="3"/>
    <x v="21"/>
    <n v="960"/>
    <n v="93"/>
    <n v="39"/>
    <n v="45"/>
    <n v="2040"/>
    <n v="0"/>
    <n v="141.03819784524975"/>
  </r>
  <r>
    <n v="4"/>
    <s v="Carry"/>
    <x v="5"/>
    <x v="8"/>
    <n v="300"/>
    <n v="10.5"/>
    <n v="10.5"/>
    <n v="25.5"/>
    <n v="150"/>
    <n v="0"/>
    <n v="177.77777777777777"/>
  </r>
  <r>
    <n v="4"/>
    <s v="Carry"/>
    <x v="6"/>
    <x v="22"/>
    <n v="170"/>
    <n v="28"/>
    <n v="2"/>
    <n v="6"/>
    <n v="135"/>
    <n v="0"/>
    <n v="150.44247787610621"/>
  </r>
  <r>
    <n v="5"/>
    <s v="Carry"/>
    <x v="4"/>
    <x v="23"/>
    <n v="250"/>
    <n v="33"/>
    <n v="4"/>
    <n v="12"/>
    <n v="120"/>
    <n v="0"/>
    <n v="134.40860215053763"/>
  </r>
  <r>
    <n v="5"/>
    <s v="Carry"/>
    <x v="0"/>
    <x v="2"/>
    <n v="270"/>
    <n v="72"/>
    <n v="3"/>
    <n v="0"/>
    <n v="0"/>
    <n v="0"/>
    <n v="112.5"/>
  </r>
  <r>
    <n v="5"/>
    <s v="Carry"/>
    <x v="1"/>
    <x v="6"/>
    <s v=""/>
    <s v=""/>
    <s v=""/>
    <s v=""/>
    <s v=""/>
    <s v=""/>
    <s v=""/>
  </r>
  <r>
    <n v="5"/>
    <s v="Carry"/>
    <x v="2"/>
    <x v="24"/>
    <n v="225"/>
    <n v="30"/>
    <n v="20"/>
    <n v="3.75"/>
    <n v="950"/>
    <n v="0"/>
    <n v="83.333333333333329"/>
  </r>
  <r>
    <n v="5"/>
    <s v="Carry"/>
    <x v="3"/>
    <x v="3"/>
    <n v="960"/>
    <n v="178"/>
    <n v="34"/>
    <n v="12"/>
    <n v="1620"/>
    <n v="0"/>
    <n v="109.09090909090908"/>
  </r>
  <r>
    <n v="5"/>
    <s v="Carry"/>
    <x v="5"/>
    <x v="8"/>
    <n v="300"/>
    <n v="10.5"/>
    <n v="10.5"/>
    <n v="25.5"/>
    <n v="150"/>
    <n v="0"/>
    <n v="177.77777777777777"/>
  </r>
  <r>
    <n v="5"/>
    <s v="Carry"/>
    <x v="6"/>
    <x v="25"/>
    <n v="110"/>
    <n v="21"/>
    <n v="1"/>
    <n v="2"/>
    <n v="150"/>
    <n v="0"/>
    <n v="118.27956989247312"/>
  </r>
  <r>
    <n v="6"/>
    <s v="Carry"/>
    <x v="4"/>
    <x v="10"/>
    <n v="400"/>
    <n v="72"/>
    <n v="6"/>
    <n v="10"/>
    <n v="420"/>
    <n v="0"/>
    <n v="109.09090909090909"/>
  </r>
  <r>
    <n v="6"/>
    <s v="Carry"/>
    <x v="0"/>
    <x v="17"/>
    <n v="325"/>
    <n v="40"/>
    <n v="2.5"/>
    <n v="17.5"/>
    <n v="25"/>
    <n v="0"/>
    <n v="156.25"/>
  </r>
  <r>
    <n v="6"/>
    <s v="Carry"/>
    <x v="1"/>
    <x v="6"/>
    <s v=""/>
    <s v=""/>
    <s v=""/>
    <s v=""/>
    <s v=""/>
    <s v=""/>
    <s v=""/>
  </r>
  <r>
    <n v="6"/>
    <s v="Carry"/>
    <x v="2"/>
    <x v="26"/>
    <n v="200"/>
    <n v="25"/>
    <n v="22.5"/>
    <n v="1.25"/>
    <n v="800"/>
    <n v="0"/>
    <n v="74.074074074074076"/>
  </r>
  <r>
    <n v="6"/>
    <s v="Carry"/>
    <x v="3"/>
    <x v="27"/>
    <n v="480"/>
    <n v="84"/>
    <n v="30"/>
    <n v="3"/>
    <n v="1530"/>
    <n v="0"/>
    <n v="101.93905817174515"/>
  </r>
  <r>
    <n v="6"/>
    <s v="Carry"/>
    <x v="5"/>
    <x v="8"/>
    <n v="300"/>
    <n v="10.5"/>
    <n v="10.5"/>
    <n v="25.5"/>
    <n v="150"/>
    <n v="0"/>
    <n v="177.77777777777777"/>
  </r>
  <r>
    <n v="6"/>
    <s v="Carry"/>
    <x v="6"/>
    <x v="9"/>
    <n v="540"/>
    <n v="105"/>
    <n v="6"/>
    <n v="12"/>
    <n v="240"/>
    <n v="0"/>
    <n v="117.64705882352942"/>
  </r>
  <r>
    <n v="7"/>
    <s v="Carry"/>
    <x v="4"/>
    <x v="15"/>
    <n v="500"/>
    <n v="74"/>
    <n v="16"/>
    <n v="18"/>
    <n v="130"/>
    <n v="0"/>
    <n v="126.55024044545685"/>
  </r>
  <r>
    <n v="7"/>
    <s v="Carry"/>
    <x v="0"/>
    <x v="23"/>
    <n v="250"/>
    <n v="33"/>
    <n v="4"/>
    <n v="12"/>
    <n v="120"/>
    <n v="0"/>
    <n v="134.40860215053763"/>
  </r>
  <r>
    <n v="7"/>
    <s v="Carry"/>
    <x v="1"/>
    <x v="6"/>
    <s v=""/>
    <s v=""/>
    <s v=""/>
    <s v=""/>
    <s v=""/>
    <s v=""/>
    <s v=""/>
  </r>
  <r>
    <n v="7"/>
    <s v="Carry"/>
    <x v="2"/>
    <x v="28"/>
    <n v="130"/>
    <n v="12"/>
    <n v="8"/>
    <n v="6"/>
    <n v="290"/>
    <n v="0"/>
    <n v="99.999999999999986"/>
  </r>
  <r>
    <n v="7"/>
    <s v="Carry"/>
    <x v="3"/>
    <x v="29"/>
    <n v="860"/>
    <n v="112"/>
    <n v="38"/>
    <n v="28"/>
    <n v="1220"/>
    <n v="0"/>
    <n v="121.12676056338029"/>
  </r>
  <r>
    <n v="7"/>
    <s v="Carry"/>
    <x v="5"/>
    <x v="8"/>
    <n v="300"/>
    <n v="10.5"/>
    <n v="10.5"/>
    <n v="25.5"/>
    <n v="150"/>
    <n v="0"/>
    <n v="177.77777777777777"/>
  </r>
  <r>
    <n v="7"/>
    <s v="Carry"/>
    <x v="6"/>
    <x v="19"/>
    <n v="500"/>
    <n v="108"/>
    <n v="10"/>
    <n v="5"/>
    <n v="680"/>
    <n v="0"/>
    <n v="111.11111111111111"/>
  </r>
  <r>
    <n v="8"/>
    <s v="Carry"/>
    <x v="4"/>
    <x v="4"/>
    <n v="620"/>
    <n v="74"/>
    <n v="16"/>
    <n v="31"/>
    <n v="280"/>
    <n v="0"/>
    <n v="130.52631578947367"/>
  </r>
  <r>
    <n v="8"/>
    <s v="Carry"/>
    <x v="0"/>
    <x v="5"/>
    <n v="510"/>
    <n v="42"/>
    <n v="10.5"/>
    <n v="33"/>
    <n v="75"/>
    <n v="0"/>
    <n v="170"/>
  </r>
  <r>
    <n v="8"/>
    <s v="Carry"/>
    <x v="1"/>
    <x v="6"/>
    <s v=""/>
    <s v=""/>
    <s v=""/>
    <s v=""/>
    <s v=""/>
    <s v=""/>
    <s v=""/>
  </r>
  <r>
    <n v="8"/>
    <s v="Carry"/>
    <x v="2"/>
    <x v="16"/>
    <n v="280"/>
    <n v="34"/>
    <n v="2"/>
    <n v="17"/>
    <n v="0"/>
    <n v="0"/>
    <n v="140"/>
  </r>
  <r>
    <n v="8"/>
    <s v="Carry"/>
    <x v="3"/>
    <x v="30"/>
    <n v="880"/>
    <n v="122"/>
    <n v="36"/>
    <n v="36"/>
    <n v="920"/>
    <n v="0"/>
    <n v="110"/>
  </r>
  <r>
    <n v="8"/>
    <s v="Carry"/>
    <x v="5"/>
    <x v="8"/>
    <n v="300"/>
    <n v="10.5"/>
    <n v="10.5"/>
    <n v="25.5"/>
    <n v="150"/>
    <n v="0"/>
    <n v="177.77777777777777"/>
  </r>
  <r>
    <n v="8"/>
    <s v="Carry"/>
    <x v="6"/>
    <x v="14"/>
    <n v="540"/>
    <n v="72"/>
    <n v="14"/>
    <n v="22"/>
    <n v="780"/>
    <n v="0"/>
    <n v="117.39130434782609"/>
  </r>
  <r>
    <n v="9"/>
    <s v="Carry"/>
    <x v="4"/>
    <x v="23"/>
    <n v="250"/>
    <n v="33"/>
    <n v="4"/>
    <n v="12"/>
    <n v="120"/>
    <n v="0"/>
    <n v="134.40860215053763"/>
  </r>
  <r>
    <n v="9"/>
    <s v="Carry"/>
    <x v="0"/>
    <x v="11"/>
    <n v="270"/>
    <n v="30"/>
    <n v="20"/>
    <n v="9"/>
    <n v="200"/>
    <n v="0"/>
    <n v="112.5"/>
  </r>
  <r>
    <n v="9"/>
    <s v="Carry"/>
    <x v="1"/>
    <x v="6"/>
    <s v=""/>
    <s v=""/>
    <s v=""/>
    <s v=""/>
    <s v=""/>
    <s v=""/>
    <s v=""/>
  </r>
  <r>
    <n v="9"/>
    <s v="Carry"/>
    <x v="2"/>
    <x v="31"/>
    <n v="300"/>
    <n v="26"/>
    <n v="4"/>
    <n v="20"/>
    <n v="500"/>
    <n v="0"/>
    <n v="154.28571428571428"/>
  </r>
  <r>
    <n v="9"/>
    <s v="Carry"/>
    <x v="3"/>
    <x v="32"/>
    <n v="1000"/>
    <n v="112"/>
    <n v="40"/>
    <n v="52"/>
    <n v="460"/>
    <n v="0"/>
    <n v="123.4567901234568"/>
  </r>
  <r>
    <n v="9"/>
    <s v="Carry"/>
    <x v="5"/>
    <x v="8"/>
    <n v="300"/>
    <n v="10.5"/>
    <n v="10.5"/>
    <n v="25.5"/>
    <n v="150"/>
    <n v="0"/>
    <n v="177.77777777777777"/>
  </r>
  <r>
    <n v="9"/>
    <s v="Carry"/>
    <x v="6"/>
    <x v="22"/>
    <n v="170"/>
    <n v="28"/>
    <n v="2"/>
    <n v="6"/>
    <n v="135"/>
    <n v="0"/>
    <n v="150.44247787610621"/>
  </r>
  <r>
    <n v="10"/>
    <s v="Carry"/>
    <x v="4"/>
    <x v="15"/>
    <n v="500"/>
    <n v="74"/>
    <n v="16"/>
    <n v="18"/>
    <n v="130"/>
    <n v="0"/>
    <n v="126.55024044545685"/>
  </r>
  <r>
    <n v="10"/>
    <s v="Carry"/>
    <x v="0"/>
    <x v="16"/>
    <n v="280"/>
    <n v="34"/>
    <n v="2"/>
    <n v="17"/>
    <n v="0"/>
    <n v="0"/>
    <n v="140"/>
  </r>
  <r>
    <n v="10"/>
    <s v="Carry"/>
    <x v="1"/>
    <x v="6"/>
    <s v=""/>
    <s v=""/>
    <s v=""/>
    <s v=""/>
    <s v=""/>
    <s v=""/>
    <s v=""/>
  </r>
  <r>
    <n v="10"/>
    <s v="Carry"/>
    <x v="2"/>
    <x v="12"/>
    <n v="130"/>
    <n v="8"/>
    <n v="7"/>
    <n v="8"/>
    <n v="320"/>
    <n v="0"/>
    <n v="99.999999999999986"/>
  </r>
  <r>
    <n v="10"/>
    <s v="Carry"/>
    <x v="3"/>
    <x v="7"/>
    <n v="575"/>
    <n v="77.5"/>
    <n v="30"/>
    <n v="15"/>
    <n v="1950"/>
    <n v="0"/>
    <n v="117.2870984191739"/>
  </r>
  <r>
    <n v="10"/>
    <s v="Carry"/>
    <x v="5"/>
    <x v="8"/>
    <n v="300"/>
    <n v="10.5"/>
    <n v="10.5"/>
    <n v="25.5"/>
    <n v="150"/>
    <n v="0"/>
    <n v="177.77777777777777"/>
  </r>
  <r>
    <n v="10"/>
    <s v="Carry"/>
    <x v="6"/>
    <x v="9"/>
    <n v="540"/>
    <n v="105"/>
    <n v="6"/>
    <n v="12"/>
    <n v="240"/>
    <n v="0"/>
    <n v="117.64705882352942"/>
  </r>
  <r>
    <n v="11"/>
    <s v="Muir Trail Ranch"/>
    <x v="4"/>
    <x v="33"/>
    <n v="1020"/>
    <n v="96"/>
    <n v="34"/>
    <n v="53"/>
    <n v="2460"/>
    <n v="0"/>
    <n v="0"/>
  </r>
  <r>
    <n v="11"/>
    <s v="Muir Trail Ranch"/>
    <x v="0"/>
    <x v="28"/>
    <n v="130"/>
    <n v="12"/>
    <n v="8"/>
    <n v="6"/>
    <n v="290"/>
    <n v="0"/>
    <n v="99.999999999999986"/>
  </r>
  <r>
    <n v="11"/>
    <s v="Muir Trail Ranch"/>
    <x v="1"/>
    <x v="0"/>
    <n v="122"/>
    <n v="18"/>
    <n v="9"/>
    <n v="7.5"/>
    <n v="105"/>
    <n v="0"/>
    <n v="0"/>
  </r>
  <r>
    <n v="11"/>
    <s v="Muir Trail Ranch"/>
    <x v="2"/>
    <x v="31"/>
    <n v="300"/>
    <n v="26"/>
    <n v="4"/>
    <n v="20"/>
    <n v="500"/>
    <n v="0"/>
    <n v="154.28571428571428"/>
  </r>
  <r>
    <n v="11"/>
    <s v="Muir Trail Ranch"/>
    <x v="3"/>
    <x v="32"/>
    <n v="1000"/>
    <n v="112"/>
    <n v="40"/>
    <n v="52"/>
    <n v="460"/>
    <n v="0"/>
    <n v="123.4567901234568"/>
  </r>
  <r>
    <n v="11"/>
    <s v="Muir Trail Ranch"/>
    <x v="5"/>
    <x v="6"/>
    <s v=""/>
    <s v=""/>
    <s v=""/>
    <s v=""/>
    <s v=""/>
    <s v=""/>
    <s v=""/>
  </r>
  <r>
    <n v="11"/>
    <s v="Muir Trail Ranch"/>
    <x v="6"/>
    <x v="25"/>
    <n v="110"/>
    <n v="21"/>
    <n v="1"/>
    <n v="2"/>
    <n v="150"/>
    <n v="0"/>
    <n v="118.27956989247312"/>
  </r>
  <r>
    <n v="12"/>
    <s v="Muir Trail Ranch"/>
    <x v="4"/>
    <x v="4"/>
    <n v="620"/>
    <n v="74"/>
    <n v="16"/>
    <n v="31"/>
    <n v="280"/>
    <n v="0"/>
    <n v="130.52631578947367"/>
  </r>
  <r>
    <n v="12"/>
    <s v="Muir Trail Ranch"/>
    <x v="0"/>
    <x v="5"/>
    <n v="510"/>
    <n v="42"/>
    <n v="10.5"/>
    <n v="33"/>
    <n v="75"/>
    <n v="0"/>
    <n v="170"/>
  </r>
  <r>
    <n v="12"/>
    <s v="Muir Trail Ranch"/>
    <x v="1"/>
    <x v="0"/>
    <n v="122"/>
    <n v="18"/>
    <n v="9"/>
    <n v="7.5"/>
    <n v="105"/>
    <n v="0"/>
    <n v="0"/>
  </r>
  <r>
    <n v="12"/>
    <s v="Muir Trail Ranch"/>
    <x v="2"/>
    <x v="20"/>
    <n v="665"/>
    <n v="0"/>
    <n v="35"/>
    <n v="56"/>
    <n v="2415"/>
    <n v="0"/>
    <n v="180.70652173913044"/>
  </r>
  <r>
    <n v="12"/>
    <s v="Muir Trail Ranch"/>
    <x v="3"/>
    <x v="18"/>
    <n v="620"/>
    <n v="124"/>
    <n v="22"/>
    <n v="7"/>
    <n v="360"/>
    <n v="0"/>
    <n v="103.33333333333333"/>
  </r>
  <r>
    <n v="12"/>
    <s v="Muir Trail Ranch"/>
    <x v="5"/>
    <x v="8"/>
    <n v="300"/>
    <n v="10.5"/>
    <n v="10.5"/>
    <n v="25.5"/>
    <n v="150"/>
    <n v="0"/>
    <n v="177.77777777777777"/>
  </r>
  <r>
    <n v="12"/>
    <s v="Muir Trail Ranch"/>
    <x v="6"/>
    <x v="34"/>
    <n v="200"/>
    <n v="31"/>
    <n v="2"/>
    <n v="8"/>
    <n v="30"/>
    <n v="0"/>
    <n v="133.33333333333334"/>
  </r>
  <r>
    <n v="13"/>
    <s v="Muir Trail Ranch"/>
    <x v="4"/>
    <x v="15"/>
    <n v="500"/>
    <n v="74"/>
    <n v="16"/>
    <n v="18"/>
    <n v="130"/>
    <n v="0"/>
    <n v="126.55024044545685"/>
  </r>
  <r>
    <n v="13"/>
    <s v="Muir Trail Ranch"/>
    <x v="0"/>
    <x v="17"/>
    <n v="325"/>
    <n v="40"/>
    <n v="2.5"/>
    <n v="17.5"/>
    <n v="25"/>
    <n v="0"/>
    <n v="156.25"/>
  </r>
  <r>
    <n v="13"/>
    <s v="Muir Trail Ranch"/>
    <x v="1"/>
    <x v="6"/>
    <s v=""/>
    <s v=""/>
    <s v=""/>
    <s v=""/>
    <s v=""/>
    <s v=""/>
    <s v=""/>
  </r>
  <r>
    <n v="13"/>
    <s v="Muir Trail Ranch"/>
    <x v="2"/>
    <x v="11"/>
    <n v="270"/>
    <n v="30"/>
    <n v="20"/>
    <n v="9"/>
    <n v="200"/>
    <n v="0"/>
    <n v="112.5"/>
  </r>
  <r>
    <n v="13"/>
    <s v="Muir Trail Ranch"/>
    <x v="3"/>
    <x v="13"/>
    <n v="520"/>
    <n v="104"/>
    <n v="22"/>
    <n v="6"/>
    <n v="1360"/>
    <n v="0"/>
    <n v="92.857142857142861"/>
  </r>
  <r>
    <n v="13"/>
    <s v="Muir Trail Ranch"/>
    <x v="5"/>
    <x v="8"/>
    <n v="300"/>
    <n v="10.5"/>
    <n v="10.5"/>
    <n v="25.5"/>
    <n v="150"/>
    <n v="0"/>
    <n v="177.77777777777777"/>
  </r>
  <r>
    <n v="13"/>
    <s v="Muir Trail Ranch"/>
    <x v="6"/>
    <x v="9"/>
    <n v="540"/>
    <n v="105"/>
    <n v="6"/>
    <n v="12"/>
    <n v="240"/>
    <n v="0"/>
    <n v="117.64705882352942"/>
  </r>
  <r>
    <n v="14"/>
    <s v="Muir Trail Ranch"/>
    <x v="4"/>
    <x v="4"/>
    <n v="620"/>
    <n v="74"/>
    <n v="16"/>
    <n v="31"/>
    <n v="280"/>
    <n v="0"/>
    <n v="130.52631578947367"/>
  </r>
  <r>
    <n v="14"/>
    <s v="Muir Trail Ranch"/>
    <x v="0"/>
    <x v="23"/>
    <n v="250"/>
    <n v="33"/>
    <n v="4"/>
    <n v="12"/>
    <n v="120"/>
    <n v="0"/>
    <n v="134.40860215053763"/>
  </r>
  <r>
    <n v="14"/>
    <s v="Muir Trail Ranch"/>
    <x v="1"/>
    <x v="6"/>
    <s v=""/>
    <s v=""/>
    <s v=""/>
    <s v=""/>
    <s v=""/>
    <s v=""/>
    <s v=""/>
  </r>
  <r>
    <n v="14"/>
    <s v="Muir Trail Ranch"/>
    <x v="2"/>
    <x v="31"/>
    <n v="300"/>
    <n v="26"/>
    <n v="4"/>
    <n v="20"/>
    <n v="500"/>
    <n v="0"/>
    <n v="154.28571428571428"/>
  </r>
  <r>
    <n v="14"/>
    <s v="Muir Trail Ranch"/>
    <x v="3"/>
    <x v="3"/>
    <n v="960"/>
    <n v="178"/>
    <n v="34"/>
    <n v="12"/>
    <n v="1620"/>
    <n v="0"/>
    <n v="109.09090909090908"/>
  </r>
  <r>
    <n v="14"/>
    <s v="Muir Trail Ranch"/>
    <x v="5"/>
    <x v="8"/>
    <n v="300"/>
    <n v="10.5"/>
    <n v="10.5"/>
    <n v="25.5"/>
    <n v="150"/>
    <n v="0"/>
    <n v="177.77777777777777"/>
  </r>
  <r>
    <n v="14"/>
    <s v="Muir Trail Ranch"/>
    <x v="6"/>
    <x v="22"/>
    <n v="170"/>
    <n v="28"/>
    <n v="2"/>
    <n v="6"/>
    <n v="135"/>
    <n v="0"/>
    <n v="150.44247787610621"/>
  </r>
  <r>
    <n v="15"/>
    <s v="Vermillion Valley Resort"/>
    <x v="4"/>
    <x v="33"/>
    <n v="1020"/>
    <n v="96"/>
    <n v="34"/>
    <n v="53"/>
    <n v="2460"/>
    <n v="0"/>
    <n v="0"/>
  </r>
  <r>
    <n v="15"/>
    <s v="Vermillion Valley Resort"/>
    <x v="0"/>
    <x v="12"/>
    <n v="130"/>
    <n v="8"/>
    <n v="7"/>
    <n v="8"/>
    <n v="320"/>
    <n v="0"/>
    <n v="99.999999999999986"/>
  </r>
  <r>
    <n v="15"/>
    <s v="Vermillion Valley Resort"/>
    <x v="1"/>
    <x v="0"/>
    <n v="122"/>
    <n v="18"/>
    <n v="9"/>
    <n v="7.5"/>
    <n v="105"/>
    <n v="0"/>
    <n v="0"/>
  </r>
  <r>
    <n v="15"/>
    <s v="Vermillion Valley Resort"/>
    <x v="2"/>
    <x v="31"/>
    <n v="300"/>
    <n v="26"/>
    <n v="4"/>
    <n v="20"/>
    <n v="500"/>
    <n v="0"/>
    <n v="154.28571428571428"/>
  </r>
  <r>
    <n v="15"/>
    <s v="Vermillion Valley Resort"/>
    <x v="3"/>
    <x v="35"/>
    <n v="380"/>
    <n v="66"/>
    <n v="8"/>
    <n v="10"/>
    <n v="500"/>
    <n v="0"/>
    <n v="118.75"/>
  </r>
  <r>
    <n v="15"/>
    <s v="Vermillion Valley Resort"/>
    <x v="5"/>
    <x v="6"/>
    <s v=""/>
    <s v=""/>
    <s v=""/>
    <s v=""/>
    <s v=""/>
    <s v=""/>
    <s v=""/>
  </r>
  <r>
    <n v="15"/>
    <s v="Vermillion Valley Resort"/>
    <x v="6"/>
    <x v="34"/>
    <n v="200"/>
    <n v="31"/>
    <n v="2"/>
    <n v="8"/>
    <n v="30"/>
    <n v="0"/>
    <n v="133.33333333333334"/>
  </r>
  <r>
    <n v="16"/>
    <s v="Vermillion Valley Resort"/>
    <x v="4"/>
    <x v="10"/>
    <n v="400"/>
    <n v="72"/>
    <n v="6"/>
    <n v="10"/>
    <n v="420"/>
    <n v="0"/>
    <n v="109.09090909090909"/>
  </r>
  <r>
    <n v="16"/>
    <s v="Vermillion Valley Resort"/>
    <x v="0"/>
    <x v="28"/>
    <n v="130"/>
    <n v="12"/>
    <n v="8"/>
    <n v="6"/>
    <n v="290"/>
    <n v="0"/>
    <n v="99.999999999999986"/>
  </r>
  <r>
    <n v="16"/>
    <s v="Vermillion Valley Resort"/>
    <x v="1"/>
    <x v="0"/>
    <n v="122"/>
    <n v="18"/>
    <n v="9"/>
    <n v="7.5"/>
    <n v="105"/>
    <n v="0"/>
    <n v="0"/>
  </r>
  <r>
    <n v="16"/>
    <s v="Vermillion Valley Resort"/>
    <x v="2"/>
    <x v="24"/>
    <n v="225"/>
    <n v="30"/>
    <n v="20"/>
    <n v="3.75"/>
    <n v="950"/>
    <n v="0"/>
    <n v="83.333333333333329"/>
  </r>
  <r>
    <n v="16"/>
    <s v="Vermillion Valley Resort"/>
    <x v="3"/>
    <x v="21"/>
    <n v="960"/>
    <n v="93"/>
    <n v="39"/>
    <n v="45"/>
    <n v="2040"/>
    <n v="0"/>
    <n v="141.03819784524975"/>
  </r>
  <r>
    <n v="16"/>
    <s v="Vermillion Valley Resort"/>
    <x v="5"/>
    <x v="6"/>
    <s v=""/>
    <s v=""/>
    <s v=""/>
    <s v=""/>
    <s v=""/>
    <s v=""/>
    <s v=""/>
  </r>
  <r>
    <n v="16"/>
    <s v="Vermillion Valley Resort"/>
    <x v="6"/>
    <x v="25"/>
    <n v="110"/>
    <n v="21"/>
    <n v="1"/>
    <n v="2"/>
    <n v="150"/>
    <n v="0"/>
    <n v="118.27956989247312"/>
  </r>
  <r>
    <n v="17"/>
    <s v="Vermillion Valley Resort"/>
    <x v="4"/>
    <x v="4"/>
    <n v="620"/>
    <n v="74"/>
    <n v="16"/>
    <n v="31"/>
    <n v="280"/>
    <n v="0"/>
    <n v="130.52631578947367"/>
  </r>
  <r>
    <n v="17"/>
    <s v="Vermillion Valley Resort"/>
    <x v="0"/>
    <x v="5"/>
    <n v="510"/>
    <n v="42"/>
    <n v="10.5"/>
    <n v="33"/>
    <n v="75"/>
    <n v="0"/>
    <n v="170"/>
  </r>
  <r>
    <n v="17"/>
    <s v="Vermillion Valley Resort"/>
    <x v="1"/>
    <x v="6"/>
    <s v=""/>
    <s v=""/>
    <s v=""/>
    <s v=""/>
    <s v=""/>
    <s v=""/>
    <s v=""/>
  </r>
  <r>
    <n v="17"/>
    <s v="Vermillion Valley Resort"/>
    <x v="2"/>
    <x v="16"/>
    <n v="280"/>
    <n v="34"/>
    <n v="2"/>
    <n v="17"/>
    <n v="0"/>
    <n v="0"/>
    <n v="140"/>
  </r>
  <r>
    <n v="17"/>
    <s v="Vermillion Valley Resort"/>
    <x v="3"/>
    <x v="30"/>
    <n v="880"/>
    <n v="122"/>
    <n v="36"/>
    <n v="36"/>
    <n v="920"/>
    <n v="0"/>
    <n v="110"/>
  </r>
  <r>
    <n v="17"/>
    <s v="Vermillion Valley Resort"/>
    <x v="5"/>
    <x v="8"/>
    <n v="300"/>
    <n v="10.5"/>
    <n v="10.5"/>
    <n v="25.5"/>
    <n v="150"/>
    <n v="0"/>
    <n v="177.77777777777777"/>
  </r>
  <r>
    <n v="17"/>
    <s v="Vermillion Valley Resort"/>
    <x v="6"/>
    <x v="14"/>
    <n v="540"/>
    <n v="72"/>
    <n v="14"/>
    <n v="22"/>
    <n v="780"/>
    <n v="0"/>
    <n v="117.39130434782609"/>
  </r>
  <r>
    <n v="18"/>
    <s v="Vermillion Valley Resort"/>
    <x v="4"/>
    <x v="10"/>
    <n v="400"/>
    <n v="72"/>
    <n v="6"/>
    <n v="10"/>
    <n v="420"/>
    <n v="0"/>
    <n v="109.09090909090909"/>
  </r>
  <r>
    <n v="18"/>
    <s v="Vermillion Valley Resort"/>
    <x v="0"/>
    <x v="16"/>
    <n v="280"/>
    <n v="34"/>
    <n v="2"/>
    <n v="17"/>
    <n v="0"/>
    <n v="0"/>
    <n v="140"/>
  </r>
  <r>
    <n v="18"/>
    <s v="Vermillion Valley Resort"/>
    <x v="1"/>
    <x v="6"/>
    <s v=""/>
    <s v=""/>
    <s v=""/>
    <s v=""/>
    <s v=""/>
    <s v=""/>
    <s v=""/>
  </r>
  <r>
    <n v="18"/>
    <s v="Vermillion Valley Resort"/>
    <x v="2"/>
    <x v="20"/>
    <n v="665"/>
    <n v="0"/>
    <n v="35"/>
    <n v="56"/>
    <n v="2415"/>
    <n v="0"/>
    <n v="180.70652173913044"/>
  </r>
  <r>
    <n v="18"/>
    <s v="Vermillion Valley Resort"/>
    <x v="3"/>
    <x v="29"/>
    <n v="860"/>
    <n v="112"/>
    <n v="38"/>
    <n v="28"/>
    <n v="1220"/>
    <n v="0"/>
    <n v="121.12676056338029"/>
  </r>
  <r>
    <n v="18"/>
    <s v="Vermillion Valley Resort"/>
    <x v="5"/>
    <x v="8"/>
    <n v="300"/>
    <n v="10.5"/>
    <n v="10.5"/>
    <n v="25.5"/>
    <n v="150"/>
    <n v="0"/>
    <n v="177.77777777777777"/>
  </r>
  <r>
    <n v="18"/>
    <s v="Vermillion Valley Resort"/>
    <x v="6"/>
    <x v="22"/>
    <n v="170"/>
    <n v="28"/>
    <n v="2"/>
    <n v="6"/>
    <n v="135"/>
    <n v="0"/>
    <n v="150.44247787610621"/>
  </r>
  <r>
    <n v="19"/>
    <s v="Vermillion Valley Resort"/>
    <x v="4"/>
    <x v="15"/>
    <n v="500"/>
    <n v="74"/>
    <n v="16"/>
    <n v="18"/>
    <n v="130"/>
    <n v="0"/>
    <n v="126.55024044545685"/>
  </r>
  <r>
    <n v="19"/>
    <s v="Vermillion Valley Resort"/>
    <x v="0"/>
    <x v="17"/>
    <n v="325"/>
    <n v="40"/>
    <n v="2.5"/>
    <n v="17.5"/>
    <n v="25"/>
    <n v="0"/>
    <n v="156.25"/>
  </r>
  <r>
    <n v="19"/>
    <s v="Vermillion Valley Resort"/>
    <x v="1"/>
    <x v="6"/>
    <s v=""/>
    <s v=""/>
    <s v=""/>
    <s v=""/>
    <s v=""/>
    <s v=""/>
    <s v=""/>
  </r>
  <r>
    <n v="19"/>
    <s v="Vermillion Valley Resort"/>
    <x v="2"/>
    <x v="28"/>
    <n v="130"/>
    <n v="12"/>
    <n v="8"/>
    <n v="6"/>
    <n v="290"/>
    <n v="0"/>
    <n v="99.999999999999986"/>
  </r>
  <r>
    <n v="19"/>
    <s v="Vermillion Valley Resort"/>
    <x v="3"/>
    <x v="1"/>
    <n v="580"/>
    <n v="84"/>
    <n v="50"/>
    <n v="10"/>
    <n v="1500"/>
    <n v="0"/>
    <n v="96.666666666666671"/>
  </r>
  <r>
    <n v="19"/>
    <s v="Vermillion Valley Resort"/>
    <x v="5"/>
    <x v="8"/>
    <n v="300"/>
    <n v="10.5"/>
    <n v="10.5"/>
    <n v="25.5"/>
    <n v="150"/>
    <n v="0"/>
    <n v="177.77777777777777"/>
  </r>
  <r>
    <n v="19"/>
    <s v="Vermillion Valley Resort"/>
    <x v="6"/>
    <x v="19"/>
    <n v="500"/>
    <n v="108"/>
    <n v="10"/>
    <n v="5"/>
    <n v="680"/>
    <n v="0"/>
    <n v="111.11111111111111"/>
  </r>
  <r>
    <n v="20"/>
    <s v="Vermillion Valley Resort"/>
    <x v="4"/>
    <x v="4"/>
    <n v="620"/>
    <n v="74"/>
    <n v="16"/>
    <n v="31"/>
    <n v="280"/>
    <n v="0"/>
    <n v="130.52631578947367"/>
  </r>
  <r>
    <n v="20"/>
    <s v="Vermillion Valley Resort"/>
    <x v="0"/>
    <x v="23"/>
    <n v="250"/>
    <n v="33"/>
    <n v="4"/>
    <n v="12"/>
    <n v="120"/>
    <n v="0"/>
    <n v="134.40860215053763"/>
  </r>
  <r>
    <n v="20"/>
    <s v="Vermillion Valley Resort"/>
    <x v="1"/>
    <x v="6"/>
    <s v=""/>
    <s v=""/>
    <s v=""/>
    <s v=""/>
    <s v=""/>
    <s v=""/>
    <s v=""/>
  </r>
  <r>
    <n v="20"/>
    <s v="Vermillion Valley Resort"/>
    <x v="2"/>
    <x v="20"/>
    <n v="665"/>
    <n v="0"/>
    <n v="35"/>
    <n v="56"/>
    <n v="2415"/>
    <n v="0"/>
    <n v="180.70652173913044"/>
  </r>
  <r>
    <n v="20"/>
    <s v="Vermillion Valley Resort"/>
    <x v="3"/>
    <x v="7"/>
    <n v="575"/>
    <n v="77.5"/>
    <n v="30"/>
    <n v="15"/>
    <n v="1950"/>
    <n v="0"/>
    <n v="117.2870984191739"/>
  </r>
  <r>
    <n v="20"/>
    <s v="Vermillion Valley Resort"/>
    <x v="5"/>
    <x v="8"/>
    <n v="300"/>
    <n v="10.5"/>
    <n v="10.5"/>
    <n v="25.5"/>
    <n v="150"/>
    <n v="0"/>
    <n v="177.77777777777777"/>
  </r>
  <r>
    <n v="20"/>
    <s v="Vermillion Valley Resort"/>
    <x v="6"/>
    <x v="9"/>
    <n v="540"/>
    <n v="105"/>
    <n v="6"/>
    <n v="12"/>
    <n v="240"/>
    <n v="0"/>
    <n v="117.64705882352942"/>
  </r>
  <r>
    <n v="21"/>
    <s v="Red's Meadow Resort"/>
    <x v="4"/>
    <x v="33"/>
    <n v="1020"/>
    <n v="96"/>
    <n v="34"/>
    <n v="53"/>
    <n v="2460"/>
    <n v="0"/>
    <n v="0"/>
  </r>
  <r>
    <n v="21"/>
    <s v="Red's Meadow Resort"/>
    <x v="0"/>
    <x v="31"/>
    <n v="300"/>
    <n v="26"/>
    <n v="4"/>
    <n v="20"/>
    <n v="500"/>
    <n v="0"/>
    <n v="154.28571428571428"/>
  </r>
  <r>
    <n v="21"/>
    <s v="Red's Meadow Resort"/>
    <x v="1"/>
    <x v="0"/>
    <n v="122"/>
    <n v="18"/>
    <n v="9"/>
    <n v="7.5"/>
    <n v="105"/>
    <n v="0"/>
    <n v="0"/>
  </r>
  <r>
    <n v="21"/>
    <s v="Red's Meadow Resort"/>
    <x v="2"/>
    <x v="17"/>
    <n v="325"/>
    <n v="40"/>
    <n v="2.5"/>
    <n v="17.5"/>
    <n v="25"/>
    <n v="0"/>
    <n v="156.25"/>
  </r>
  <r>
    <n v="21"/>
    <s v="Red's Meadow Resort"/>
    <x v="3"/>
    <x v="27"/>
    <n v="480"/>
    <n v="84"/>
    <n v="30"/>
    <n v="3"/>
    <n v="1530"/>
    <n v="0"/>
    <n v="101.93905817174515"/>
  </r>
  <r>
    <n v="21"/>
    <s v="Red's Meadow Resort"/>
    <x v="5"/>
    <x v="6"/>
    <s v=""/>
    <s v=""/>
    <s v=""/>
    <s v=""/>
    <s v=""/>
    <s v=""/>
    <s v=""/>
  </r>
  <r>
    <n v="21"/>
    <s v="Red's Meadow Resort"/>
    <x v="6"/>
    <x v="34"/>
    <n v="200"/>
    <n v="31"/>
    <n v="2"/>
    <n v="8"/>
    <n v="30"/>
    <n v="0"/>
    <n v="133.33333333333334"/>
  </r>
  <r>
    <n v="22"/>
    <s v="Red's Meadow Resort"/>
    <x v="4"/>
    <x v="10"/>
    <n v="400"/>
    <n v="72"/>
    <n v="6"/>
    <n v="10"/>
    <n v="420"/>
    <n v="0"/>
    <n v="109.09090909090909"/>
  </r>
  <r>
    <n v="22"/>
    <s v="Red's Meadow Resort"/>
    <x v="0"/>
    <x v="12"/>
    <n v="130"/>
    <n v="8"/>
    <n v="7"/>
    <n v="8"/>
    <n v="320"/>
    <n v="0"/>
    <n v="99.999999999999986"/>
  </r>
  <r>
    <n v="22"/>
    <s v="Red's Meadow Resort"/>
    <x v="1"/>
    <x v="0"/>
    <n v="122"/>
    <n v="18"/>
    <n v="9"/>
    <n v="7.5"/>
    <n v="105"/>
    <n v="0"/>
    <n v="0"/>
  </r>
  <r>
    <n v="22"/>
    <s v="Red's Meadow Resort"/>
    <x v="2"/>
    <x v="31"/>
    <n v="300"/>
    <n v="26"/>
    <n v="4"/>
    <n v="20"/>
    <n v="500"/>
    <n v="0"/>
    <n v="154.28571428571428"/>
  </r>
  <r>
    <n v="22"/>
    <s v="Red's Meadow Resort"/>
    <x v="3"/>
    <x v="18"/>
    <n v="620"/>
    <n v="124"/>
    <n v="22"/>
    <n v="7"/>
    <n v="360"/>
    <n v="0"/>
    <n v="103.33333333333333"/>
  </r>
  <r>
    <n v="22"/>
    <s v="Red's Meadow Resort"/>
    <x v="5"/>
    <x v="6"/>
    <s v=""/>
    <s v=""/>
    <s v=""/>
    <s v=""/>
    <s v=""/>
    <s v=""/>
    <s v=""/>
  </r>
  <r>
    <n v="22"/>
    <s v="Red's Meadow Resort"/>
    <x v="6"/>
    <x v="25"/>
    <n v="110"/>
    <n v="21"/>
    <n v="1"/>
    <n v="2"/>
    <n v="150"/>
    <n v="0"/>
    <n v="118.27956989247312"/>
  </r>
  <r>
    <n v="23"/>
    <s v="Red's Meadow Resort"/>
    <x v="4"/>
    <x v="4"/>
    <n v="620"/>
    <n v="74"/>
    <n v="16"/>
    <n v="31"/>
    <n v="280"/>
    <n v="0"/>
    <n v="130.52631578947367"/>
  </r>
  <r>
    <n v="23"/>
    <s v="Red's Meadow Resort"/>
    <x v="0"/>
    <x v="5"/>
    <n v="510"/>
    <n v="42"/>
    <n v="10.5"/>
    <n v="33"/>
    <n v="75"/>
    <n v="0"/>
    <n v="170"/>
  </r>
  <r>
    <n v="23"/>
    <s v="Red's Meadow Resort"/>
    <x v="1"/>
    <x v="6"/>
    <s v=""/>
    <s v=""/>
    <s v=""/>
    <s v=""/>
    <s v=""/>
    <s v=""/>
    <s v=""/>
  </r>
  <r>
    <n v="23"/>
    <s v="Red's Meadow Resort"/>
    <x v="2"/>
    <x v="20"/>
    <n v="665"/>
    <n v="0"/>
    <n v="35"/>
    <n v="56"/>
    <n v="2415"/>
    <n v="0"/>
    <n v="180.70652173913044"/>
  </r>
  <r>
    <n v="23"/>
    <s v="Red's Meadow Resort"/>
    <x v="3"/>
    <x v="3"/>
    <n v="960"/>
    <n v="178"/>
    <n v="34"/>
    <n v="12"/>
    <n v="1620"/>
    <n v="0"/>
    <n v="109.09090909090908"/>
  </r>
  <r>
    <n v="23"/>
    <s v="Red's Meadow Resort"/>
    <x v="5"/>
    <x v="8"/>
    <n v="300"/>
    <n v="10.5"/>
    <n v="10.5"/>
    <n v="25.5"/>
    <n v="150"/>
    <n v="0"/>
    <n v="177.77777777777777"/>
  </r>
  <r>
    <n v="23"/>
    <s v="Red's Meadow Resort"/>
    <x v="6"/>
    <x v="22"/>
    <n v="170"/>
    <n v="28"/>
    <n v="2"/>
    <n v="6"/>
    <n v="135"/>
    <n v="0"/>
    <n v="150.44247787610621"/>
  </r>
  <r>
    <n v="24"/>
    <s v="Red's Meadow Resort"/>
    <x v="4"/>
    <x v="15"/>
    <n v="500"/>
    <n v="74"/>
    <n v="16"/>
    <n v="18"/>
    <n v="130"/>
    <n v="0"/>
    <n v="126.55024044545685"/>
  </r>
  <r>
    <n v="24"/>
    <s v="Red's Meadow Resort"/>
    <x v="0"/>
    <x v="16"/>
    <n v="280"/>
    <n v="34"/>
    <n v="2"/>
    <n v="17"/>
    <n v="0"/>
    <n v="0"/>
    <n v="140"/>
  </r>
  <r>
    <n v="24"/>
    <s v="Red's Meadow Resort"/>
    <x v="1"/>
    <x v="6"/>
    <s v=""/>
    <s v=""/>
    <s v=""/>
    <s v=""/>
    <s v=""/>
    <s v=""/>
    <s v=""/>
  </r>
  <r>
    <n v="24"/>
    <s v="Red's Meadow Resort"/>
    <x v="2"/>
    <x v="11"/>
    <n v="270"/>
    <n v="30"/>
    <n v="20"/>
    <n v="9"/>
    <n v="200"/>
    <n v="0"/>
    <n v="112.5"/>
  </r>
  <r>
    <n v="24"/>
    <s v="Red's Meadow Resort"/>
    <x v="3"/>
    <x v="30"/>
    <n v="880"/>
    <n v="122"/>
    <n v="36"/>
    <n v="36"/>
    <n v="920"/>
    <n v="0"/>
    <n v="110"/>
  </r>
  <r>
    <n v="24"/>
    <s v="Red's Meadow Resort"/>
    <x v="5"/>
    <x v="8"/>
    <n v="300"/>
    <n v="10.5"/>
    <n v="10.5"/>
    <n v="25.5"/>
    <n v="150"/>
    <n v="0"/>
    <n v="177.77777777777777"/>
  </r>
  <r>
    <n v="24"/>
    <s v="Red's Meadow Resort"/>
    <x v="6"/>
    <x v="14"/>
    <n v="540"/>
    <n v="72"/>
    <n v="14"/>
    <n v="22"/>
    <n v="780"/>
    <n v="0"/>
    <n v="117.39130434782609"/>
  </r>
  <r>
    <n v="25"/>
    <s v="Red's Meadow Resort"/>
    <x v="4"/>
    <x v="10"/>
    <n v="400"/>
    <n v="72"/>
    <n v="6"/>
    <n v="10"/>
    <n v="420"/>
    <n v="0"/>
    <n v="109.09090909090909"/>
  </r>
  <r>
    <n v="25"/>
    <s v="Red's Meadow Resort"/>
    <x v="0"/>
    <x v="17"/>
    <n v="325"/>
    <n v="40"/>
    <n v="2.5"/>
    <n v="17.5"/>
    <n v="25"/>
    <n v="0"/>
    <n v="156.25"/>
  </r>
  <r>
    <n v="25"/>
    <s v="Red's Meadow Resort"/>
    <x v="1"/>
    <x v="6"/>
    <s v=""/>
    <s v=""/>
    <s v=""/>
    <s v=""/>
    <s v=""/>
    <s v=""/>
    <s v=""/>
  </r>
  <r>
    <n v="25"/>
    <s v="Red's Meadow Resort"/>
    <x v="2"/>
    <x v="31"/>
    <n v="300"/>
    <n v="26"/>
    <n v="4"/>
    <n v="20"/>
    <n v="500"/>
    <n v="0"/>
    <n v="154.28571428571428"/>
  </r>
  <r>
    <n v="25"/>
    <s v="Red's Meadow Resort"/>
    <x v="3"/>
    <x v="21"/>
    <n v="960"/>
    <n v="93"/>
    <n v="39"/>
    <n v="45"/>
    <n v="2040"/>
    <n v="0"/>
    <n v="141.03819784524975"/>
  </r>
  <r>
    <n v="25"/>
    <s v="Red's Meadow Resort"/>
    <x v="5"/>
    <x v="8"/>
    <n v="300"/>
    <n v="10.5"/>
    <n v="10.5"/>
    <n v="25.5"/>
    <n v="150"/>
    <n v="0"/>
    <n v="177.77777777777777"/>
  </r>
  <r>
    <n v="25"/>
    <s v="Red's Meadow Resort"/>
    <x v="6"/>
    <x v="19"/>
    <n v="500"/>
    <n v="108"/>
    <n v="10"/>
    <n v="5"/>
    <n v="680"/>
    <n v="0"/>
    <n v="111.11111111111111"/>
  </r>
  <r>
    <n v="26"/>
    <s v="Red's Meadow Resort"/>
    <x v="4"/>
    <x v="4"/>
    <n v="620"/>
    <n v="74"/>
    <n v="16"/>
    <n v="31"/>
    <n v="280"/>
    <n v="0"/>
    <n v="130.52631578947367"/>
  </r>
  <r>
    <n v="26"/>
    <s v="Red's Meadow Resort"/>
    <x v="0"/>
    <x v="23"/>
    <n v="250"/>
    <n v="33"/>
    <n v="4"/>
    <n v="12"/>
    <n v="120"/>
    <n v="0"/>
    <n v="134.40860215053763"/>
  </r>
  <r>
    <n v="26"/>
    <s v="Red's Meadow Resort"/>
    <x v="1"/>
    <x v="6"/>
    <s v=""/>
    <s v=""/>
    <s v=""/>
    <s v=""/>
    <s v=""/>
    <s v=""/>
    <s v=""/>
  </r>
  <r>
    <n v="26"/>
    <s v="Red's Meadow Resort"/>
    <x v="2"/>
    <x v="12"/>
    <n v="130"/>
    <n v="8"/>
    <n v="7"/>
    <n v="8"/>
    <n v="320"/>
    <n v="0"/>
    <n v="99.999999999999986"/>
  </r>
  <r>
    <n v="26"/>
    <s v="Red's Meadow Resort"/>
    <x v="3"/>
    <x v="13"/>
    <n v="520"/>
    <n v="104"/>
    <n v="22"/>
    <n v="6"/>
    <n v="1360"/>
    <n v="0"/>
    <n v="92.857142857142861"/>
  </r>
  <r>
    <n v="26"/>
    <s v="Red's Meadow Resort"/>
    <x v="5"/>
    <x v="8"/>
    <n v="300"/>
    <n v="10.5"/>
    <n v="10.5"/>
    <n v="25.5"/>
    <n v="150"/>
    <n v="0"/>
    <n v="177.77777777777777"/>
  </r>
  <r>
    <n v="26"/>
    <s v="Red's Meadow Resort"/>
    <x v="6"/>
    <x v="9"/>
    <n v="540"/>
    <n v="105"/>
    <n v="6"/>
    <n v="12"/>
    <n v="240"/>
    <n v="0"/>
    <n v="117.64705882352942"/>
  </r>
  <r>
    <n v="27"/>
    <s v="Red's Meadow Resort"/>
    <x v="4"/>
    <x v="4"/>
    <n v="620"/>
    <n v="74"/>
    <n v="16"/>
    <n v="31"/>
    <n v="280"/>
    <n v="0"/>
    <n v="130.52631578947367"/>
  </r>
  <r>
    <n v="27"/>
    <s v="Red's Meadow Resort"/>
    <x v="0"/>
    <x v="5"/>
    <n v="510"/>
    <n v="42"/>
    <n v="10.5"/>
    <n v="33"/>
    <n v="75"/>
    <n v="0"/>
    <n v="170"/>
  </r>
  <r>
    <n v="27"/>
    <s v="Red's Meadow Resort"/>
    <x v="1"/>
    <x v="6"/>
    <s v=""/>
    <s v=""/>
    <s v=""/>
    <s v=""/>
    <s v=""/>
    <s v=""/>
    <s v=""/>
  </r>
  <r>
    <n v="27"/>
    <s v="Red's Meadow Resort"/>
    <x v="2"/>
    <x v="28"/>
    <n v="130"/>
    <n v="12"/>
    <n v="8"/>
    <n v="6"/>
    <n v="290"/>
    <n v="0"/>
    <n v="99.999999999999986"/>
  </r>
  <r>
    <n v="27"/>
    <s v="Red's Meadow Resort"/>
    <x v="3"/>
    <x v="1"/>
    <n v="580"/>
    <n v="84"/>
    <n v="50"/>
    <n v="10"/>
    <n v="1500"/>
    <n v="0"/>
    <n v="96.666666666666671"/>
  </r>
  <r>
    <n v="27"/>
    <s v="Red's Meadow Resort"/>
    <x v="5"/>
    <x v="8"/>
    <n v="300"/>
    <n v="10.5"/>
    <n v="10.5"/>
    <n v="25.5"/>
    <n v="150"/>
    <n v="0"/>
    <n v="177.77777777777777"/>
  </r>
  <r>
    <n v="27"/>
    <s v="Red's Meadow Resort"/>
    <x v="6"/>
    <x v="34"/>
    <n v="200"/>
    <n v="31"/>
    <n v="2"/>
    <n v="8"/>
    <n v="30"/>
    <n v="0"/>
    <n v="133.33333333333334"/>
  </r>
  <r>
    <n v="28"/>
    <s v="Red's Meadow Resort"/>
    <x v="4"/>
    <x v="15"/>
    <n v="500"/>
    <n v="74"/>
    <n v="16"/>
    <n v="18"/>
    <n v="130"/>
    <n v="0"/>
    <n v="126.55024044545685"/>
  </r>
  <r>
    <n v="28"/>
    <s v="Red's Meadow Resort"/>
    <x v="0"/>
    <x v="2"/>
    <n v="270"/>
    <n v="72"/>
    <n v="3"/>
    <n v="0"/>
    <n v="0"/>
    <n v="0"/>
    <n v="112.5"/>
  </r>
  <r>
    <n v="28"/>
    <s v="Red's Meadow Resort"/>
    <x v="1"/>
    <x v="6"/>
    <s v=""/>
    <s v=""/>
    <s v=""/>
    <s v=""/>
    <s v=""/>
    <s v=""/>
    <s v=""/>
  </r>
  <r>
    <n v="28"/>
    <s v="Red's Meadow Resort"/>
    <x v="2"/>
    <x v="31"/>
    <n v="300"/>
    <n v="26"/>
    <n v="4"/>
    <n v="20"/>
    <n v="500"/>
    <n v="0"/>
    <n v="154.28571428571428"/>
  </r>
  <r>
    <n v="28"/>
    <s v="Red's Meadow Resort"/>
    <x v="3"/>
    <x v="32"/>
    <n v="1000"/>
    <n v="112"/>
    <n v="40"/>
    <n v="52"/>
    <n v="460"/>
    <n v="0"/>
    <n v="123.4567901234568"/>
  </r>
  <r>
    <n v="28"/>
    <s v="Red's Meadow Resort"/>
    <x v="5"/>
    <x v="8"/>
    <n v="300"/>
    <n v="10.5"/>
    <n v="10.5"/>
    <n v="25.5"/>
    <n v="150"/>
    <n v="0"/>
    <n v="177.77777777777777"/>
  </r>
  <r>
    <n v="28"/>
    <s v="Red's Meadow Resort"/>
    <x v="6"/>
    <x v="25"/>
    <n v="110"/>
    <n v="21"/>
    <n v="1"/>
    <n v="2"/>
    <n v="150"/>
    <n v="0"/>
    <n v="118.27956989247312"/>
  </r>
  <r>
    <n v="29"/>
    <s v="Red's Meadow Resort"/>
    <x v="4"/>
    <x v="10"/>
    <n v="400"/>
    <n v="72"/>
    <n v="6"/>
    <n v="10"/>
    <n v="420"/>
    <n v="0"/>
    <n v="109.09090909090909"/>
  </r>
  <r>
    <n v="29"/>
    <s v="Red's Meadow Resort"/>
    <x v="0"/>
    <x v="16"/>
    <n v="280"/>
    <n v="34"/>
    <n v="2"/>
    <n v="17"/>
    <n v="0"/>
    <n v="0"/>
    <n v="140"/>
  </r>
  <r>
    <n v="29"/>
    <s v="Red's Meadow Resort"/>
    <x v="1"/>
    <x v="6"/>
    <s v=""/>
    <s v=""/>
    <s v=""/>
    <s v=""/>
    <s v=""/>
    <s v=""/>
    <s v=""/>
  </r>
  <r>
    <n v="29"/>
    <s v="Red's Meadow Resort"/>
    <x v="2"/>
    <x v="36"/>
    <n v="225"/>
    <n v="30"/>
    <n v="20"/>
    <n v="3.75"/>
    <n v="875"/>
    <n v="0"/>
    <n v="83.333333333333329"/>
  </r>
  <r>
    <n v="29"/>
    <s v="Red's Meadow Resort"/>
    <x v="3"/>
    <x v="29"/>
    <n v="860"/>
    <n v="112"/>
    <n v="38"/>
    <n v="28"/>
    <n v="1220"/>
    <n v="0"/>
    <n v="121.12676056338029"/>
  </r>
  <r>
    <n v="29"/>
    <s v="Red's Meadow Resort"/>
    <x v="5"/>
    <x v="8"/>
    <n v="300"/>
    <n v="10.5"/>
    <n v="10.5"/>
    <n v="25.5"/>
    <n v="150"/>
    <n v="0"/>
    <n v="177.77777777777777"/>
  </r>
  <r>
    <n v="29"/>
    <s v="Red's Meadow Resort"/>
    <x v="6"/>
    <x v="14"/>
    <n v="540"/>
    <n v="72"/>
    <n v="14"/>
    <n v="22"/>
    <n v="780"/>
    <n v="0"/>
    <n v="117.3913043478260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4">
  <r>
    <s v="Lisa"/>
    <n v="0"/>
    <s v="Carry"/>
    <s v="2 Morning Snack"/>
    <x v="0"/>
    <x v="0"/>
    <x v="0"/>
    <x v="0"/>
  </r>
  <r>
    <s v="Lisa"/>
    <n v="0"/>
    <s v="Carry"/>
    <s v="3 Lunch"/>
    <x v="1"/>
    <x v="1"/>
    <x v="1"/>
    <x v="1"/>
  </r>
  <r>
    <s v="Lisa"/>
    <n v="0"/>
    <s v="Carry"/>
    <s v="4 Afternoon Snack"/>
    <x v="2"/>
    <x v="2"/>
    <x v="2"/>
    <x v="1"/>
  </r>
  <r>
    <s v="Lisa"/>
    <n v="0"/>
    <s v="Carry"/>
    <s v="5 Dinner"/>
    <x v="3"/>
    <x v="3"/>
    <x v="3"/>
    <x v="1"/>
  </r>
  <r>
    <s v="Lisa"/>
    <n v="1"/>
    <s v="Carry"/>
    <s v="1 Breakfast"/>
    <x v="4"/>
    <x v="3"/>
    <x v="3"/>
    <x v="1"/>
  </r>
  <r>
    <s v="Lisa"/>
    <n v="1"/>
    <s v="Carry"/>
    <s v="2 Morning Snack"/>
    <x v="5"/>
    <x v="1"/>
    <x v="1"/>
    <x v="1"/>
  </r>
  <r>
    <s v="Lisa"/>
    <n v="1"/>
    <s v="Carry"/>
    <s v="3 Lunch"/>
    <x v="6"/>
    <x v="4"/>
    <x v="4"/>
    <x v="2"/>
  </r>
  <r>
    <s v="Lisa"/>
    <n v="1"/>
    <s v="Carry"/>
    <s v="4 Afternoon Snack"/>
    <x v="2"/>
    <x v="2"/>
    <x v="2"/>
    <x v="1"/>
  </r>
  <r>
    <s v="Lisa"/>
    <n v="1"/>
    <s v="Carry"/>
    <s v="5 Dinner"/>
    <x v="7"/>
    <x v="5"/>
    <x v="0"/>
    <x v="3"/>
  </r>
  <r>
    <s v="Lisa"/>
    <n v="1"/>
    <s v="Carry"/>
    <s v="6 Recovery"/>
    <x v="8"/>
    <x v="6"/>
    <x v="5"/>
    <x v="4"/>
  </r>
  <r>
    <s v="Lisa"/>
    <n v="1"/>
    <s v="Carry"/>
    <s v="7 Dessert"/>
    <x v="9"/>
    <x v="5"/>
    <x v="0"/>
    <x v="5"/>
  </r>
  <r>
    <s v="Lisa"/>
    <n v="2"/>
    <s v="Carry"/>
    <s v="1 Breakfast"/>
    <x v="10"/>
    <x v="7"/>
    <x v="5"/>
    <x v="6"/>
  </r>
  <r>
    <s v="Lisa"/>
    <n v="2"/>
    <s v="Carry"/>
    <s v="2 Morning Snack"/>
    <x v="11"/>
    <x v="8"/>
    <x v="5"/>
    <x v="7"/>
  </r>
  <r>
    <s v="Lisa"/>
    <n v="2"/>
    <s v="Carry"/>
    <s v="3 Lunch"/>
    <x v="6"/>
    <x v="4"/>
    <x v="4"/>
    <x v="2"/>
  </r>
  <r>
    <s v="Lisa"/>
    <n v="2"/>
    <s v="Carry"/>
    <s v="4 Afternoon Snack"/>
    <x v="12"/>
    <x v="9"/>
    <x v="0"/>
    <x v="8"/>
  </r>
  <r>
    <s v="Lisa"/>
    <n v="2"/>
    <s v="Carry"/>
    <s v="5 Dinner"/>
    <x v="13"/>
    <x v="1"/>
    <x v="1"/>
    <x v="1"/>
  </r>
  <r>
    <s v="Lisa"/>
    <n v="2"/>
    <s v="Carry"/>
    <s v="6 Recovery"/>
    <x v="8"/>
    <x v="6"/>
    <x v="5"/>
    <x v="4"/>
  </r>
  <r>
    <s v="Lisa"/>
    <n v="2"/>
    <s v="Carry"/>
    <s v="7 Dessert"/>
    <x v="14"/>
    <x v="3"/>
    <x v="3"/>
    <x v="1"/>
  </r>
  <r>
    <s v="Lisa"/>
    <n v="3"/>
    <s v="Carry"/>
    <s v="1 Breakfast"/>
    <x v="15"/>
    <x v="5"/>
    <x v="0"/>
    <x v="3"/>
  </r>
  <r>
    <s v="Lisa"/>
    <n v="3"/>
    <s v="Carry"/>
    <s v="2 Morning Snack"/>
    <x v="16"/>
    <x v="1"/>
    <x v="1"/>
    <x v="1"/>
  </r>
  <r>
    <s v="Lisa"/>
    <n v="3"/>
    <s v="Carry"/>
    <s v="3 Lunch"/>
    <x v="6"/>
    <x v="4"/>
    <x v="4"/>
    <x v="2"/>
  </r>
  <r>
    <s v="Lisa"/>
    <n v="3"/>
    <s v="Carry"/>
    <s v="4 Afternoon Snack"/>
    <x v="17"/>
    <x v="2"/>
    <x v="2"/>
    <x v="1"/>
  </r>
  <r>
    <s v="Lisa"/>
    <n v="3"/>
    <s v="Carry"/>
    <s v="5 Dinner"/>
    <x v="18"/>
    <x v="1"/>
    <x v="1"/>
    <x v="1"/>
  </r>
  <r>
    <s v="Lisa"/>
    <n v="3"/>
    <s v="Carry"/>
    <s v="6 Recovery"/>
    <x v="8"/>
    <x v="6"/>
    <x v="5"/>
    <x v="4"/>
  </r>
  <r>
    <s v="Lisa"/>
    <n v="3"/>
    <s v="Carry"/>
    <s v="7 Dessert"/>
    <x v="19"/>
    <x v="3"/>
    <x v="3"/>
    <x v="1"/>
  </r>
  <r>
    <s v="Lisa"/>
    <n v="4"/>
    <s v="Carry"/>
    <s v="1 Breakfast"/>
    <x v="4"/>
    <x v="3"/>
    <x v="3"/>
    <x v="1"/>
  </r>
  <r>
    <s v="Lisa"/>
    <n v="4"/>
    <s v="Carry"/>
    <s v="2 Morning Snack"/>
    <x v="5"/>
    <x v="1"/>
    <x v="1"/>
    <x v="1"/>
  </r>
  <r>
    <s v="Lisa"/>
    <n v="4"/>
    <s v="Carry"/>
    <s v="3 Lunch"/>
    <x v="6"/>
    <x v="4"/>
    <x v="4"/>
    <x v="2"/>
  </r>
  <r>
    <s v="Lisa"/>
    <n v="4"/>
    <s v="Carry"/>
    <s v="4 Afternoon Snack"/>
    <x v="20"/>
    <x v="2"/>
    <x v="2"/>
    <x v="1"/>
  </r>
  <r>
    <s v="Lisa"/>
    <n v="4"/>
    <s v="Carry"/>
    <s v="5 Dinner"/>
    <x v="21"/>
    <x v="5"/>
    <x v="0"/>
    <x v="3"/>
  </r>
  <r>
    <s v="Lisa"/>
    <n v="4"/>
    <s v="Carry"/>
    <s v="6 Recovery"/>
    <x v="8"/>
    <x v="6"/>
    <x v="5"/>
    <x v="4"/>
  </r>
  <r>
    <s v="Lisa"/>
    <n v="4"/>
    <s v="Carry"/>
    <s v="7 Dessert"/>
    <x v="22"/>
    <x v="5"/>
    <x v="0"/>
    <x v="9"/>
  </r>
  <r>
    <s v="Lisa"/>
    <n v="5"/>
    <s v="Carry"/>
    <s v="1 Breakfast"/>
    <x v="23"/>
    <x v="10"/>
    <x v="5"/>
    <x v="7"/>
  </r>
  <r>
    <s v="Lisa"/>
    <n v="5"/>
    <s v="Carry"/>
    <s v="2 Morning Snack"/>
    <x v="2"/>
    <x v="2"/>
    <x v="2"/>
    <x v="1"/>
  </r>
  <r>
    <s v="Lisa"/>
    <n v="5"/>
    <s v="Carry"/>
    <s v="3 Lunch"/>
    <x v="6"/>
    <x v="4"/>
    <x v="4"/>
    <x v="2"/>
  </r>
  <r>
    <s v="Lisa"/>
    <n v="5"/>
    <s v="Carry"/>
    <s v="4 Afternoon Snack"/>
    <x v="24"/>
    <x v="11"/>
    <x v="0"/>
    <x v="10"/>
  </r>
  <r>
    <s v="Lisa"/>
    <n v="5"/>
    <s v="Carry"/>
    <s v="5 Dinner"/>
    <x v="3"/>
    <x v="3"/>
    <x v="3"/>
    <x v="1"/>
  </r>
  <r>
    <s v="Lisa"/>
    <n v="5"/>
    <s v="Carry"/>
    <s v="6 Recovery"/>
    <x v="8"/>
    <x v="6"/>
    <x v="5"/>
    <x v="4"/>
  </r>
  <r>
    <s v="Lisa"/>
    <n v="5"/>
    <s v="Carry"/>
    <s v="7 Dessert"/>
    <x v="25"/>
    <x v="12"/>
    <x v="0"/>
    <x v="11"/>
  </r>
  <r>
    <s v="Lisa"/>
    <n v="6"/>
    <s v="Carry"/>
    <s v="1 Breakfast"/>
    <x v="10"/>
    <x v="7"/>
    <x v="5"/>
    <x v="6"/>
  </r>
  <r>
    <s v="Lisa"/>
    <n v="6"/>
    <s v="Carry"/>
    <s v="2 Morning Snack"/>
    <x v="17"/>
    <x v="2"/>
    <x v="2"/>
    <x v="1"/>
  </r>
  <r>
    <s v="Lisa"/>
    <n v="6"/>
    <s v="Carry"/>
    <s v="3 Lunch"/>
    <x v="6"/>
    <x v="4"/>
    <x v="4"/>
    <x v="2"/>
  </r>
  <r>
    <s v="Lisa"/>
    <n v="6"/>
    <s v="Carry"/>
    <s v="4 Afternoon Snack"/>
    <x v="26"/>
    <x v="11"/>
    <x v="0"/>
    <x v="10"/>
  </r>
  <r>
    <s v="Lisa"/>
    <n v="6"/>
    <s v="Carry"/>
    <s v="5 Dinner"/>
    <x v="27"/>
    <x v="3"/>
    <x v="0"/>
    <x v="3"/>
  </r>
  <r>
    <s v="Lisa"/>
    <n v="6"/>
    <s v="Carry"/>
    <s v="6 Recovery"/>
    <x v="8"/>
    <x v="6"/>
    <x v="5"/>
    <x v="4"/>
  </r>
  <r>
    <s v="Lisa"/>
    <n v="6"/>
    <s v="Carry"/>
    <s v="7 Dessert"/>
    <x v="9"/>
    <x v="5"/>
    <x v="0"/>
    <x v="5"/>
  </r>
  <r>
    <s v="Lisa"/>
    <n v="7"/>
    <s v="Carry"/>
    <s v="1 Breakfast"/>
    <x v="15"/>
    <x v="5"/>
    <x v="0"/>
    <x v="3"/>
  </r>
  <r>
    <s v="Lisa"/>
    <n v="7"/>
    <s v="Carry"/>
    <s v="2 Morning Snack"/>
    <x v="23"/>
    <x v="10"/>
    <x v="5"/>
    <x v="7"/>
  </r>
  <r>
    <s v="Lisa"/>
    <n v="7"/>
    <s v="Carry"/>
    <s v="3 Lunch"/>
    <x v="6"/>
    <x v="4"/>
    <x v="4"/>
    <x v="2"/>
  </r>
  <r>
    <s v="Lisa"/>
    <n v="7"/>
    <s v="Carry"/>
    <s v="4 Afternoon Snack"/>
    <x v="28"/>
    <x v="9"/>
    <x v="0"/>
    <x v="8"/>
  </r>
  <r>
    <s v="Lisa"/>
    <n v="7"/>
    <s v="Carry"/>
    <s v="5 Dinner"/>
    <x v="29"/>
    <x v="3"/>
    <x v="3"/>
    <x v="1"/>
  </r>
  <r>
    <s v="Lisa"/>
    <n v="7"/>
    <s v="Carry"/>
    <s v="6 Recovery"/>
    <x v="8"/>
    <x v="6"/>
    <x v="5"/>
    <x v="4"/>
  </r>
  <r>
    <s v="Lisa"/>
    <n v="7"/>
    <s v="Carry"/>
    <s v="7 Dessert"/>
    <x v="19"/>
    <x v="3"/>
    <x v="3"/>
    <x v="1"/>
  </r>
  <r>
    <s v="Lisa"/>
    <n v="8"/>
    <s v="Carry"/>
    <s v="1 Breakfast"/>
    <x v="4"/>
    <x v="3"/>
    <x v="3"/>
    <x v="1"/>
  </r>
  <r>
    <s v="Lisa"/>
    <n v="8"/>
    <s v="Carry"/>
    <s v="2 Morning Snack"/>
    <x v="5"/>
    <x v="1"/>
    <x v="1"/>
    <x v="1"/>
  </r>
  <r>
    <s v="Lisa"/>
    <n v="8"/>
    <s v="Carry"/>
    <s v="3 Lunch"/>
    <x v="6"/>
    <x v="4"/>
    <x v="4"/>
    <x v="2"/>
  </r>
  <r>
    <s v="Lisa"/>
    <n v="8"/>
    <s v="Carry"/>
    <s v="4 Afternoon Snack"/>
    <x v="16"/>
    <x v="1"/>
    <x v="1"/>
    <x v="1"/>
  </r>
  <r>
    <s v="Lisa"/>
    <n v="8"/>
    <s v="Carry"/>
    <s v="5 Dinner"/>
    <x v="30"/>
    <x v="3"/>
    <x v="0"/>
    <x v="1"/>
  </r>
  <r>
    <s v="Lisa"/>
    <n v="8"/>
    <s v="Carry"/>
    <s v="6 Recovery"/>
    <x v="8"/>
    <x v="6"/>
    <x v="5"/>
    <x v="4"/>
  </r>
  <r>
    <s v="Lisa"/>
    <n v="8"/>
    <s v="Carry"/>
    <s v="7 Dessert"/>
    <x v="14"/>
    <x v="3"/>
    <x v="3"/>
    <x v="1"/>
  </r>
  <r>
    <s v="Lisa"/>
    <n v="9"/>
    <s v="Carry"/>
    <s v="1 Breakfast"/>
    <x v="23"/>
    <x v="10"/>
    <x v="5"/>
    <x v="7"/>
  </r>
  <r>
    <s v="Lisa"/>
    <n v="9"/>
    <s v="Carry"/>
    <s v="2 Morning Snack"/>
    <x v="11"/>
    <x v="8"/>
    <x v="5"/>
    <x v="7"/>
  </r>
  <r>
    <s v="Lisa"/>
    <n v="9"/>
    <s v="Carry"/>
    <s v="3 Lunch"/>
    <x v="6"/>
    <x v="4"/>
    <x v="4"/>
    <x v="2"/>
  </r>
  <r>
    <s v="Lisa"/>
    <n v="9"/>
    <s v="Carry"/>
    <s v="4 Afternoon Snack"/>
    <x v="31"/>
    <x v="13"/>
    <x v="5"/>
    <x v="6"/>
  </r>
  <r>
    <s v="Lisa"/>
    <n v="9"/>
    <s v="Carry"/>
    <s v="5 Dinner"/>
    <x v="32"/>
    <x v="3"/>
    <x v="3"/>
    <x v="1"/>
  </r>
  <r>
    <s v="Lisa"/>
    <n v="9"/>
    <s v="Carry"/>
    <s v="6 Recovery"/>
    <x v="8"/>
    <x v="6"/>
    <x v="5"/>
    <x v="4"/>
  </r>
  <r>
    <s v="Lisa"/>
    <n v="9"/>
    <s v="Carry"/>
    <s v="7 Dessert"/>
    <x v="22"/>
    <x v="5"/>
    <x v="0"/>
    <x v="9"/>
  </r>
  <r>
    <s v="Lisa"/>
    <n v="10"/>
    <s v="Carry"/>
    <s v="1 Breakfast"/>
    <x v="15"/>
    <x v="5"/>
    <x v="0"/>
    <x v="3"/>
  </r>
  <r>
    <s v="Lisa"/>
    <n v="10"/>
    <s v="Carry"/>
    <s v="2 Morning Snack"/>
    <x v="16"/>
    <x v="1"/>
    <x v="1"/>
    <x v="1"/>
  </r>
  <r>
    <s v="Lisa"/>
    <n v="10"/>
    <s v="Carry"/>
    <s v="3 Lunch"/>
    <x v="6"/>
    <x v="4"/>
    <x v="4"/>
    <x v="2"/>
  </r>
  <r>
    <s v="Lisa"/>
    <n v="10"/>
    <s v="Carry"/>
    <s v="4 Afternoon Snack"/>
    <x v="12"/>
    <x v="9"/>
    <x v="0"/>
    <x v="8"/>
  </r>
  <r>
    <s v="Lisa"/>
    <n v="10"/>
    <s v="Carry"/>
    <s v="5 Dinner"/>
    <x v="7"/>
    <x v="5"/>
    <x v="0"/>
    <x v="3"/>
  </r>
  <r>
    <s v="Lisa"/>
    <n v="10"/>
    <s v="Carry"/>
    <s v="6 Recovery"/>
    <x v="8"/>
    <x v="6"/>
    <x v="5"/>
    <x v="4"/>
  </r>
  <r>
    <s v="Lisa"/>
    <n v="10"/>
    <s v="Carry"/>
    <s v="7 Dessert"/>
    <x v="9"/>
    <x v="5"/>
    <x v="0"/>
    <x v="5"/>
  </r>
  <r>
    <s v="Lisa"/>
    <n v="11"/>
    <s v="Muir Trail Ranch"/>
    <s v="1 Breakfast"/>
    <x v="33"/>
    <x v="14"/>
    <x v="6"/>
    <x v="0"/>
  </r>
  <r>
    <s v="Lisa"/>
    <n v="11"/>
    <s v="Muir Trail Ranch"/>
    <s v="2 Morning Snack"/>
    <x v="28"/>
    <x v="9"/>
    <x v="0"/>
    <x v="8"/>
  </r>
  <r>
    <s v="Lisa"/>
    <n v="11"/>
    <s v="Muir Trail Ranch"/>
    <s v="3 Lunch"/>
    <x v="0"/>
    <x v="0"/>
    <x v="0"/>
    <x v="0"/>
  </r>
  <r>
    <s v="Lisa"/>
    <n v="11"/>
    <s v="Muir Trail Ranch"/>
    <s v="4 Afternoon Snack"/>
    <x v="31"/>
    <x v="13"/>
    <x v="5"/>
    <x v="6"/>
  </r>
  <r>
    <s v="Lisa"/>
    <n v="11"/>
    <s v="Muir Trail Ranch"/>
    <s v="5 Dinner"/>
    <x v="32"/>
    <x v="3"/>
    <x v="3"/>
    <x v="1"/>
  </r>
  <r>
    <s v="Lisa"/>
    <n v="11"/>
    <s v="Muir Trail Ranch"/>
    <s v="6 Recovery"/>
    <x v="6"/>
    <x v="4"/>
    <x v="4"/>
    <x v="2"/>
  </r>
  <r>
    <s v="Lisa"/>
    <n v="11"/>
    <s v="Muir Trail Ranch"/>
    <s v="7 Dessert"/>
    <x v="25"/>
    <x v="12"/>
    <x v="0"/>
    <x v="11"/>
  </r>
  <r>
    <s v="Lisa"/>
    <n v="12"/>
    <s v="Muir Trail Ranch"/>
    <s v="1 Breakfast"/>
    <x v="4"/>
    <x v="3"/>
    <x v="3"/>
    <x v="1"/>
  </r>
  <r>
    <s v="Lisa"/>
    <n v="12"/>
    <s v="Muir Trail Ranch"/>
    <s v="2 Morning Snack"/>
    <x v="5"/>
    <x v="1"/>
    <x v="1"/>
    <x v="1"/>
  </r>
  <r>
    <s v="Lisa"/>
    <n v="12"/>
    <s v="Muir Trail Ranch"/>
    <s v="3 Lunch"/>
    <x v="0"/>
    <x v="0"/>
    <x v="0"/>
    <x v="0"/>
  </r>
  <r>
    <s v="Lisa"/>
    <n v="12"/>
    <s v="Muir Trail Ranch"/>
    <s v="4 Afternoon Snack"/>
    <x v="20"/>
    <x v="2"/>
    <x v="2"/>
    <x v="1"/>
  </r>
  <r>
    <s v="Lisa"/>
    <n v="12"/>
    <s v="Muir Trail Ranch"/>
    <s v="5 Dinner"/>
    <x v="18"/>
    <x v="1"/>
    <x v="1"/>
    <x v="1"/>
  </r>
  <r>
    <s v="Lisa"/>
    <n v="12"/>
    <s v="Muir Trail Ranch"/>
    <s v="6 Recovery"/>
    <x v="8"/>
    <x v="6"/>
    <x v="5"/>
    <x v="4"/>
  </r>
  <r>
    <s v="Lisa"/>
    <n v="12"/>
    <s v="Muir Trail Ranch"/>
    <s v="7 Dessert"/>
    <x v="34"/>
    <x v="15"/>
    <x v="5"/>
    <x v="12"/>
  </r>
  <r>
    <s v="Lisa"/>
    <n v="13"/>
    <s v="Muir Trail Ranch"/>
    <s v="1 Breakfast"/>
    <x v="15"/>
    <x v="5"/>
    <x v="0"/>
    <x v="3"/>
  </r>
  <r>
    <s v="Lisa"/>
    <n v="13"/>
    <s v="Muir Trail Ranch"/>
    <s v="2 Morning Snack"/>
    <x v="17"/>
    <x v="2"/>
    <x v="2"/>
    <x v="1"/>
  </r>
  <r>
    <s v="Lisa"/>
    <n v="13"/>
    <s v="Muir Trail Ranch"/>
    <s v="3 Lunch"/>
    <x v="6"/>
    <x v="4"/>
    <x v="4"/>
    <x v="2"/>
  </r>
  <r>
    <s v="Lisa"/>
    <n v="13"/>
    <s v="Muir Trail Ranch"/>
    <s v="4 Afternoon Snack"/>
    <x v="11"/>
    <x v="8"/>
    <x v="5"/>
    <x v="7"/>
  </r>
  <r>
    <s v="Lisa"/>
    <n v="13"/>
    <s v="Muir Trail Ranch"/>
    <s v="5 Dinner"/>
    <x v="13"/>
    <x v="1"/>
    <x v="1"/>
    <x v="1"/>
  </r>
  <r>
    <s v="Lisa"/>
    <n v="13"/>
    <s v="Muir Trail Ranch"/>
    <s v="6 Recovery"/>
    <x v="8"/>
    <x v="6"/>
    <x v="5"/>
    <x v="4"/>
  </r>
  <r>
    <s v="Lisa"/>
    <n v="13"/>
    <s v="Muir Trail Ranch"/>
    <s v="7 Dessert"/>
    <x v="9"/>
    <x v="5"/>
    <x v="0"/>
    <x v="5"/>
  </r>
  <r>
    <s v="Lisa"/>
    <n v="14"/>
    <s v="Muir Trail Ranch"/>
    <s v="1 Breakfast"/>
    <x v="4"/>
    <x v="3"/>
    <x v="3"/>
    <x v="1"/>
  </r>
  <r>
    <s v="Lisa"/>
    <n v="14"/>
    <s v="Muir Trail Ranch"/>
    <s v="2 Morning Snack"/>
    <x v="23"/>
    <x v="10"/>
    <x v="5"/>
    <x v="7"/>
  </r>
  <r>
    <s v="Lisa"/>
    <n v="14"/>
    <s v="Muir Trail Ranch"/>
    <s v="3 Lunch"/>
    <x v="6"/>
    <x v="4"/>
    <x v="4"/>
    <x v="2"/>
  </r>
  <r>
    <s v="Lisa"/>
    <n v="14"/>
    <s v="Muir Trail Ranch"/>
    <s v="4 Afternoon Snack"/>
    <x v="31"/>
    <x v="13"/>
    <x v="5"/>
    <x v="6"/>
  </r>
  <r>
    <s v="Lisa"/>
    <n v="14"/>
    <s v="Muir Trail Ranch"/>
    <s v="5 Dinner"/>
    <x v="3"/>
    <x v="3"/>
    <x v="3"/>
    <x v="1"/>
  </r>
  <r>
    <s v="Lisa"/>
    <n v="14"/>
    <s v="Muir Trail Ranch"/>
    <s v="6 Recovery"/>
    <x v="8"/>
    <x v="6"/>
    <x v="5"/>
    <x v="4"/>
  </r>
  <r>
    <s v="Lisa"/>
    <n v="14"/>
    <s v="Muir Trail Ranch"/>
    <s v="7 Dessert"/>
    <x v="22"/>
    <x v="5"/>
    <x v="0"/>
    <x v="9"/>
  </r>
  <r>
    <s v="Lisa"/>
    <n v="15"/>
    <s v="Vermillion Valley Resort"/>
    <s v="1 Breakfast"/>
    <x v="33"/>
    <x v="14"/>
    <x v="6"/>
    <x v="0"/>
  </r>
  <r>
    <s v="Lisa"/>
    <n v="15"/>
    <s v="Vermillion Valley Resort"/>
    <s v="2 Morning Snack"/>
    <x v="12"/>
    <x v="9"/>
    <x v="0"/>
    <x v="8"/>
  </r>
  <r>
    <s v="Lisa"/>
    <n v="15"/>
    <s v="Vermillion Valley Resort"/>
    <s v="3 Lunch"/>
    <x v="0"/>
    <x v="0"/>
    <x v="0"/>
    <x v="0"/>
  </r>
  <r>
    <s v="Lisa"/>
    <n v="15"/>
    <s v="Vermillion Valley Resort"/>
    <s v="4 Afternoon Snack"/>
    <x v="31"/>
    <x v="13"/>
    <x v="5"/>
    <x v="6"/>
  </r>
  <r>
    <s v="Lisa"/>
    <n v="15"/>
    <s v="Vermillion Valley Resort"/>
    <s v="5 Dinner"/>
    <x v="35"/>
    <x v="3"/>
    <x v="3"/>
    <x v="1"/>
  </r>
  <r>
    <s v="Lisa"/>
    <n v="15"/>
    <s v="Vermillion Valley Resort"/>
    <s v="6 Recovery"/>
    <x v="6"/>
    <x v="4"/>
    <x v="4"/>
    <x v="2"/>
  </r>
  <r>
    <s v="Lisa"/>
    <n v="15"/>
    <s v="Vermillion Valley Resort"/>
    <s v="7 Dessert"/>
    <x v="34"/>
    <x v="15"/>
    <x v="5"/>
    <x v="12"/>
  </r>
  <r>
    <s v="Lisa"/>
    <n v="16"/>
    <s v="Vermillion Valley Resort"/>
    <s v="1 Breakfast"/>
    <x v="10"/>
    <x v="7"/>
    <x v="5"/>
    <x v="6"/>
  </r>
  <r>
    <s v="Lisa"/>
    <n v="16"/>
    <s v="Vermillion Valley Resort"/>
    <s v="2 Morning Snack"/>
    <x v="28"/>
    <x v="9"/>
    <x v="0"/>
    <x v="8"/>
  </r>
  <r>
    <s v="Lisa"/>
    <n v="16"/>
    <s v="Vermillion Valley Resort"/>
    <s v="3 Lunch"/>
    <x v="0"/>
    <x v="0"/>
    <x v="0"/>
    <x v="0"/>
  </r>
  <r>
    <s v="Lisa"/>
    <n v="16"/>
    <s v="Vermillion Valley Resort"/>
    <s v="4 Afternoon Snack"/>
    <x v="24"/>
    <x v="11"/>
    <x v="0"/>
    <x v="10"/>
  </r>
  <r>
    <s v="Lisa"/>
    <n v="16"/>
    <s v="Vermillion Valley Resort"/>
    <s v="5 Dinner"/>
    <x v="21"/>
    <x v="5"/>
    <x v="0"/>
    <x v="3"/>
  </r>
  <r>
    <s v="Lisa"/>
    <n v="16"/>
    <s v="Vermillion Valley Resort"/>
    <s v="6 Recovery"/>
    <x v="6"/>
    <x v="4"/>
    <x v="4"/>
    <x v="2"/>
  </r>
  <r>
    <s v="Lisa"/>
    <n v="16"/>
    <s v="Vermillion Valley Resort"/>
    <s v="7 Dessert"/>
    <x v="25"/>
    <x v="12"/>
    <x v="0"/>
    <x v="11"/>
  </r>
  <r>
    <s v="Lisa"/>
    <n v="17"/>
    <s v="Vermillion Valley Resort"/>
    <s v="1 Breakfast"/>
    <x v="4"/>
    <x v="3"/>
    <x v="3"/>
    <x v="1"/>
  </r>
  <r>
    <s v="Lisa"/>
    <n v="17"/>
    <s v="Vermillion Valley Resort"/>
    <s v="2 Morning Snack"/>
    <x v="5"/>
    <x v="1"/>
    <x v="1"/>
    <x v="1"/>
  </r>
  <r>
    <s v="Lisa"/>
    <n v="17"/>
    <s v="Vermillion Valley Resort"/>
    <s v="3 Lunch"/>
    <x v="6"/>
    <x v="4"/>
    <x v="4"/>
    <x v="2"/>
  </r>
  <r>
    <s v="Lisa"/>
    <n v="17"/>
    <s v="Vermillion Valley Resort"/>
    <s v="4 Afternoon Snack"/>
    <x v="16"/>
    <x v="1"/>
    <x v="1"/>
    <x v="1"/>
  </r>
  <r>
    <s v="Lisa"/>
    <n v="17"/>
    <s v="Vermillion Valley Resort"/>
    <s v="5 Dinner"/>
    <x v="30"/>
    <x v="3"/>
    <x v="0"/>
    <x v="1"/>
  </r>
  <r>
    <s v="Lisa"/>
    <n v="17"/>
    <s v="Vermillion Valley Resort"/>
    <s v="6 Recovery"/>
    <x v="8"/>
    <x v="6"/>
    <x v="5"/>
    <x v="4"/>
  </r>
  <r>
    <s v="Lisa"/>
    <n v="17"/>
    <s v="Vermillion Valley Resort"/>
    <s v="7 Dessert"/>
    <x v="14"/>
    <x v="3"/>
    <x v="3"/>
    <x v="1"/>
  </r>
  <r>
    <s v="Lisa"/>
    <n v="18"/>
    <s v="Vermillion Valley Resort"/>
    <s v="1 Breakfast"/>
    <x v="10"/>
    <x v="7"/>
    <x v="5"/>
    <x v="6"/>
  </r>
  <r>
    <s v="Lisa"/>
    <n v="18"/>
    <s v="Vermillion Valley Resort"/>
    <s v="2 Morning Snack"/>
    <x v="16"/>
    <x v="1"/>
    <x v="1"/>
    <x v="1"/>
  </r>
  <r>
    <s v="Lisa"/>
    <n v="18"/>
    <s v="Vermillion Valley Resort"/>
    <s v="3 Lunch"/>
    <x v="6"/>
    <x v="4"/>
    <x v="4"/>
    <x v="2"/>
  </r>
  <r>
    <s v="Lisa"/>
    <n v="18"/>
    <s v="Vermillion Valley Resort"/>
    <s v="4 Afternoon Snack"/>
    <x v="20"/>
    <x v="2"/>
    <x v="2"/>
    <x v="1"/>
  </r>
  <r>
    <s v="Lisa"/>
    <n v="18"/>
    <s v="Vermillion Valley Resort"/>
    <s v="5 Dinner"/>
    <x v="29"/>
    <x v="3"/>
    <x v="3"/>
    <x v="1"/>
  </r>
  <r>
    <s v="Lisa"/>
    <n v="18"/>
    <s v="Vermillion Valley Resort"/>
    <s v="6 Recovery"/>
    <x v="8"/>
    <x v="6"/>
    <x v="5"/>
    <x v="4"/>
  </r>
  <r>
    <s v="Lisa"/>
    <n v="18"/>
    <s v="Vermillion Valley Resort"/>
    <s v="7 Dessert"/>
    <x v="22"/>
    <x v="5"/>
    <x v="0"/>
    <x v="9"/>
  </r>
  <r>
    <s v="Lisa"/>
    <n v="19"/>
    <s v="Vermillion Valley Resort"/>
    <s v="1 Breakfast"/>
    <x v="15"/>
    <x v="5"/>
    <x v="0"/>
    <x v="3"/>
  </r>
  <r>
    <s v="Lisa"/>
    <n v="19"/>
    <s v="Vermillion Valley Resort"/>
    <s v="2 Morning Snack"/>
    <x v="17"/>
    <x v="2"/>
    <x v="2"/>
    <x v="1"/>
  </r>
  <r>
    <s v="Lisa"/>
    <n v="19"/>
    <s v="Vermillion Valley Resort"/>
    <s v="3 Lunch"/>
    <x v="6"/>
    <x v="4"/>
    <x v="4"/>
    <x v="2"/>
  </r>
  <r>
    <s v="Lisa"/>
    <n v="19"/>
    <s v="Vermillion Valley Resort"/>
    <s v="4 Afternoon Snack"/>
    <x v="28"/>
    <x v="9"/>
    <x v="0"/>
    <x v="8"/>
  </r>
  <r>
    <s v="Lisa"/>
    <n v="19"/>
    <s v="Vermillion Valley Resort"/>
    <s v="5 Dinner"/>
    <x v="1"/>
    <x v="1"/>
    <x v="1"/>
    <x v="1"/>
  </r>
  <r>
    <s v="Lisa"/>
    <n v="19"/>
    <s v="Vermillion Valley Resort"/>
    <s v="6 Recovery"/>
    <x v="8"/>
    <x v="6"/>
    <x v="5"/>
    <x v="4"/>
  </r>
  <r>
    <s v="Lisa"/>
    <n v="19"/>
    <s v="Vermillion Valley Resort"/>
    <s v="7 Dessert"/>
    <x v="19"/>
    <x v="3"/>
    <x v="3"/>
    <x v="1"/>
  </r>
  <r>
    <s v="Lisa"/>
    <n v="20"/>
    <s v="Vermillion Valley Resort"/>
    <s v="1 Breakfast"/>
    <x v="4"/>
    <x v="3"/>
    <x v="3"/>
    <x v="1"/>
  </r>
  <r>
    <s v="Lisa"/>
    <n v="20"/>
    <s v="Vermillion Valley Resort"/>
    <s v="2 Morning Snack"/>
    <x v="23"/>
    <x v="10"/>
    <x v="5"/>
    <x v="7"/>
  </r>
  <r>
    <s v="Lisa"/>
    <n v="20"/>
    <s v="Vermillion Valley Resort"/>
    <s v="3 Lunch"/>
    <x v="6"/>
    <x v="4"/>
    <x v="4"/>
    <x v="2"/>
  </r>
  <r>
    <s v="Lisa"/>
    <n v="20"/>
    <s v="Vermillion Valley Resort"/>
    <s v="4 Afternoon Snack"/>
    <x v="20"/>
    <x v="2"/>
    <x v="2"/>
    <x v="1"/>
  </r>
  <r>
    <s v="Lisa"/>
    <n v="20"/>
    <s v="Vermillion Valley Resort"/>
    <s v="5 Dinner"/>
    <x v="7"/>
    <x v="5"/>
    <x v="0"/>
    <x v="3"/>
  </r>
  <r>
    <s v="Lisa"/>
    <n v="20"/>
    <s v="Vermillion Valley Resort"/>
    <s v="6 Recovery"/>
    <x v="8"/>
    <x v="6"/>
    <x v="5"/>
    <x v="4"/>
  </r>
  <r>
    <s v="Lisa"/>
    <n v="20"/>
    <s v="Vermillion Valley Resort"/>
    <s v="7 Dessert"/>
    <x v="9"/>
    <x v="5"/>
    <x v="0"/>
    <x v="5"/>
  </r>
  <r>
    <s v="Lisa"/>
    <n v="21"/>
    <s v="Red's Meadow Resort"/>
    <s v="1 Breakfast"/>
    <x v="33"/>
    <x v="14"/>
    <x v="6"/>
    <x v="0"/>
  </r>
  <r>
    <s v="Lisa"/>
    <n v="21"/>
    <s v="Red's Meadow Resort"/>
    <s v="2 Morning Snack"/>
    <x v="31"/>
    <x v="13"/>
    <x v="5"/>
    <x v="6"/>
  </r>
  <r>
    <s v="Lisa"/>
    <n v="21"/>
    <s v="Red's Meadow Resort"/>
    <s v="3 Lunch"/>
    <x v="0"/>
    <x v="0"/>
    <x v="0"/>
    <x v="0"/>
  </r>
  <r>
    <s v="Lisa"/>
    <n v="21"/>
    <s v="Red's Meadow Resort"/>
    <s v="4 Afternoon Snack"/>
    <x v="17"/>
    <x v="2"/>
    <x v="2"/>
    <x v="1"/>
  </r>
  <r>
    <s v="Lisa"/>
    <n v="21"/>
    <s v="Red's Meadow Resort"/>
    <s v="5 Dinner"/>
    <x v="27"/>
    <x v="3"/>
    <x v="0"/>
    <x v="3"/>
  </r>
  <r>
    <s v="Lisa"/>
    <n v="21"/>
    <s v="Red's Meadow Resort"/>
    <s v="6 Recovery"/>
    <x v="6"/>
    <x v="4"/>
    <x v="4"/>
    <x v="2"/>
  </r>
  <r>
    <s v="Lisa"/>
    <n v="21"/>
    <s v="Red's Meadow Resort"/>
    <s v="7 Dessert"/>
    <x v="34"/>
    <x v="15"/>
    <x v="5"/>
    <x v="12"/>
  </r>
  <r>
    <s v="Lisa"/>
    <n v="22"/>
    <s v="Red's Meadow Resort"/>
    <s v="1 Breakfast"/>
    <x v="10"/>
    <x v="7"/>
    <x v="5"/>
    <x v="6"/>
  </r>
  <r>
    <s v="Lisa"/>
    <n v="22"/>
    <s v="Red's Meadow Resort"/>
    <s v="2 Morning Snack"/>
    <x v="12"/>
    <x v="9"/>
    <x v="0"/>
    <x v="8"/>
  </r>
  <r>
    <s v="Lisa"/>
    <n v="22"/>
    <s v="Red's Meadow Resort"/>
    <s v="3 Lunch"/>
    <x v="0"/>
    <x v="0"/>
    <x v="0"/>
    <x v="0"/>
  </r>
  <r>
    <s v="Lisa"/>
    <n v="22"/>
    <s v="Red's Meadow Resort"/>
    <s v="4 Afternoon Snack"/>
    <x v="31"/>
    <x v="13"/>
    <x v="5"/>
    <x v="6"/>
  </r>
  <r>
    <s v="Lisa"/>
    <n v="22"/>
    <s v="Red's Meadow Resort"/>
    <s v="5 Dinner"/>
    <x v="18"/>
    <x v="1"/>
    <x v="1"/>
    <x v="1"/>
  </r>
  <r>
    <s v="Lisa"/>
    <n v="22"/>
    <s v="Red's Meadow Resort"/>
    <s v="6 Recovery"/>
    <x v="6"/>
    <x v="4"/>
    <x v="4"/>
    <x v="2"/>
  </r>
  <r>
    <s v="Lisa"/>
    <n v="22"/>
    <s v="Red's Meadow Resort"/>
    <s v="7 Dessert"/>
    <x v="25"/>
    <x v="12"/>
    <x v="0"/>
    <x v="11"/>
  </r>
  <r>
    <s v="Lisa"/>
    <n v="23"/>
    <s v="Red's Meadow Resort"/>
    <s v="1 Breakfast"/>
    <x v="4"/>
    <x v="3"/>
    <x v="3"/>
    <x v="1"/>
  </r>
  <r>
    <s v="Lisa"/>
    <n v="23"/>
    <s v="Red's Meadow Resort"/>
    <s v="2 Morning Snack"/>
    <x v="5"/>
    <x v="1"/>
    <x v="1"/>
    <x v="1"/>
  </r>
  <r>
    <s v="Lisa"/>
    <n v="23"/>
    <s v="Red's Meadow Resort"/>
    <s v="3 Lunch"/>
    <x v="6"/>
    <x v="4"/>
    <x v="4"/>
    <x v="2"/>
  </r>
  <r>
    <s v="Lisa"/>
    <n v="23"/>
    <s v="Red's Meadow Resort"/>
    <s v="4 Afternoon Snack"/>
    <x v="20"/>
    <x v="2"/>
    <x v="2"/>
    <x v="1"/>
  </r>
  <r>
    <s v="Lisa"/>
    <n v="23"/>
    <s v="Red's Meadow Resort"/>
    <s v="5 Dinner"/>
    <x v="3"/>
    <x v="3"/>
    <x v="3"/>
    <x v="1"/>
  </r>
  <r>
    <s v="Lisa"/>
    <n v="23"/>
    <s v="Red's Meadow Resort"/>
    <s v="6 Recovery"/>
    <x v="8"/>
    <x v="6"/>
    <x v="5"/>
    <x v="4"/>
  </r>
  <r>
    <s v="Lisa"/>
    <n v="23"/>
    <s v="Red's Meadow Resort"/>
    <s v="7 Dessert"/>
    <x v="22"/>
    <x v="5"/>
    <x v="0"/>
    <x v="9"/>
  </r>
  <r>
    <s v="Lisa"/>
    <n v="24"/>
    <s v="Red's Meadow Resort"/>
    <s v="1 Breakfast"/>
    <x v="15"/>
    <x v="5"/>
    <x v="0"/>
    <x v="3"/>
  </r>
  <r>
    <s v="Lisa"/>
    <n v="24"/>
    <s v="Red's Meadow Resort"/>
    <s v="2 Morning Snack"/>
    <x v="16"/>
    <x v="1"/>
    <x v="1"/>
    <x v="1"/>
  </r>
  <r>
    <s v="Lisa"/>
    <n v="24"/>
    <s v="Red's Meadow Resort"/>
    <s v="3 Lunch"/>
    <x v="6"/>
    <x v="4"/>
    <x v="4"/>
    <x v="2"/>
  </r>
  <r>
    <s v="Lisa"/>
    <n v="24"/>
    <s v="Red's Meadow Resort"/>
    <s v="4 Afternoon Snack"/>
    <x v="11"/>
    <x v="8"/>
    <x v="5"/>
    <x v="7"/>
  </r>
  <r>
    <s v="Lisa"/>
    <n v="24"/>
    <s v="Red's Meadow Resort"/>
    <s v="5 Dinner"/>
    <x v="30"/>
    <x v="3"/>
    <x v="0"/>
    <x v="1"/>
  </r>
  <r>
    <s v="Lisa"/>
    <n v="24"/>
    <s v="Red's Meadow Resort"/>
    <s v="6 Recovery"/>
    <x v="8"/>
    <x v="6"/>
    <x v="5"/>
    <x v="4"/>
  </r>
  <r>
    <s v="Lisa"/>
    <n v="24"/>
    <s v="Red's Meadow Resort"/>
    <s v="7 Dessert"/>
    <x v="14"/>
    <x v="3"/>
    <x v="3"/>
    <x v="1"/>
  </r>
  <r>
    <s v="Lisa"/>
    <n v="25"/>
    <s v="Red's Meadow Resort"/>
    <s v="1 Breakfast"/>
    <x v="10"/>
    <x v="7"/>
    <x v="5"/>
    <x v="6"/>
  </r>
  <r>
    <s v="Lisa"/>
    <n v="25"/>
    <s v="Red's Meadow Resort"/>
    <s v="2 Morning Snack"/>
    <x v="17"/>
    <x v="2"/>
    <x v="2"/>
    <x v="1"/>
  </r>
  <r>
    <s v="Lisa"/>
    <n v="25"/>
    <s v="Red's Meadow Resort"/>
    <s v="3 Lunch"/>
    <x v="6"/>
    <x v="4"/>
    <x v="4"/>
    <x v="2"/>
  </r>
  <r>
    <s v="Lisa"/>
    <n v="25"/>
    <s v="Red's Meadow Resort"/>
    <s v="4 Afternoon Snack"/>
    <x v="31"/>
    <x v="13"/>
    <x v="5"/>
    <x v="6"/>
  </r>
  <r>
    <s v="Lisa"/>
    <n v="25"/>
    <s v="Red's Meadow Resort"/>
    <s v="5 Dinner"/>
    <x v="21"/>
    <x v="5"/>
    <x v="0"/>
    <x v="3"/>
  </r>
  <r>
    <s v="Lisa"/>
    <n v="25"/>
    <s v="Red's Meadow Resort"/>
    <s v="6 Recovery"/>
    <x v="8"/>
    <x v="6"/>
    <x v="5"/>
    <x v="4"/>
  </r>
  <r>
    <s v="Lisa"/>
    <n v="25"/>
    <s v="Red's Meadow Resort"/>
    <s v="7 Dessert"/>
    <x v="19"/>
    <x v="3"/>
    <x v="3"/>
    <x v="1"/>
  </r>
  <r>
    <s v="Lisa"/>
    <n v="26"/>
    <s v="Red's Meadow Resort"/>
    <s v="1 Breakfast"/>
    <x v="4"/>
    <x v="3"/>
    <x v="3"/>
    <x v="1"/>
  </r>
  <r>
    <s v="Lisa"/>
    <n v="26"/>
    <s v="Red's Meadow Resort"/>
    <s v="2 Morning Snack"/>
    <x v="23"/>
    <x v="10"/>
    <x v="5"/>
    <x v="7"/>
  </r>
  <r>
    <s v="Lisa"/>
    <n v="26"/>
    <s v="Red's Meadow Resort"/>
    <s v="3 Lunch"/>
    <x v="6"/>
    <x v="4"/>
    <x v="4"/>
    <x v="2"/>
  </r>
  <r>
    <s v="Lisa"/>
    <n v="26"/>
    <s v="Red's Meadow Resort"/>
    <s v="4 Afternoon Snack"/>
    <x v="12"/>
    <x v="9"/>
    <x v="0"/>
    <x v="8"/>
  </r>
  <r>
    <s v="Lisa"/>
    <n v="26"/>
    <s v="Red's Meadow Resort"/>
    <s v="5 Dinner"/>
    <x v="13"/>
    <x v="1"/>
    <x v="1"/>
    <x v="1"/>
  </r>
  <r>
    <s v="Lisa"/>
    <n v="26"/>
    <s v="Red's Meadow Resort"/>
    <s v="6 Recovery"/>
    <x v="8"/>
    <x v="6"/>
    <x v="5"/>
    <x v="4"/>
  </r>
  <r>
    <s v="Lisa"/>
    <n v="26"/>
    <s v="Red's Meadow Resort"/>
    <s v="7 Dessert"/>
    <x v="9"/>
    <x v="5"/>
    <x v="0"/>
    <x v="5"/>
  </r>
  <r>
    <s v="Lisa"/>
    <n v="27"/>
    <s v="Red's Meadow Resort"/>
    <s v="1 Breakfast"/>
    <x v="4"/>
    <x v="3"/>
    <x v="3"/>
    <x v="1"/>
  </r>
  <r>
    <s v="Lisa"/>
    <n v="27"/>
    <s v="Red's Meadow Resort"/>
    <s v="2 Morning Snack"/>
    <x v="5"/>
    <x v="1"/>
    <x v="1"/>
    <x v="1"/>
  </r>
  <r>
    <s v="Lisa"/>
    <n v="27"/>
    <s v="Red's Meadow Resort"/>
    <s v="3 Lunch"/>
    <x v="6"/>
    <x v="4"/>
    <x v="4"/>
    <x v="2"/>
  </r>
  <r>
    <s v="Lisa"/>
    <n v="27"/>
    <s v="Red's Meadow Resort"/>
    <s v="4 Afternoon Snack"/>
    <x v="28"/>
    <x v="9"/>
    <x v="0"/>
    <x v="8"/>
  </r>
  <r>
    <s v="Lisa"/>
    <n v="27"/>
    <s v="Red's Meadow Resort"/>
    <s v="5 Dinner"/>
    <x v="1"/>
    <x v="1"/>
    <x v="1"/>
    <x v="1"/>
  </r>
  <r>
    <s v="Lisa"/>
    <n v="27"/>
    <s v="Red's Meadow Resort"/>
    <s v="6 Recovery"/>
    <x v="8"/>
    <x v="6"/>
    <x v="5"/>
    <x v="4"/>
  </r>
  <r>
    <s v="Lisa"/>
    <n v="27"/>
    <s v="Red's Meadow Resort"/>
    <s v="7 Dessert"/>
    <x v="34"/>
    <x v="15"/>
    <x v="5"/>
    <x v="12"/>
  </r>
  <r>
    <s v="Lisa"/>
    <n v="28"/>
    <s v="Red's Meadow Resort"/>
    <s v="1 Breakfast"/>
    <x v="15"/>
    <x v="5"/>
    <x v="0"/>
    <x v="3"/>
  </r>
  <r>
    <s v="Lisa"/>
    <n v="28"/>
    <s v="Red's Meadow Resort"/>
    <s v="2 Morning Snack"/>
    <x v="2"/>
    <x v="2"/>
    <x v="2"/>
    <x v="1"/>
  </r>
  <r>
    <s v="Lisa"/>
    <n v="28"/>
    <s v="Red's Meadow Resort"/>
    <s v="3 Lunch"/>
    <x v="6"/>
    <x v="4"/>
    <x v="4"/>
    <x v="2"/>
  </r>
  <r>
    <s v="Lisa"/>
    <n v="28"/>
    <s v="Red's Meadow Resort"/>
    <s v="4 Afternoon Snack"/>
    <x v="31"/>
    <x v="13"/>
    <x v="5"/>
    <x v="6"/>
  </r>
  <r>
    <s v="Lisa"/>
    <n v="28"/>
    <s v="Red's Meadow Resort"/>
    <s v="5 Dinner"/>
    <x v="32"/>
    <x v="3"/>
    <x v="3"/>
    <x v="1"/>
  </r>
  <r>
    <s v="Lisa"/>
    <n v="28"/>
    <s v="Red's Meadow Resort"/>
    <s v="6 Recovery"/>
    <x v="8"/>
    <x v="6"/>
    <x v="5"/>
    <x v="4"/>
  </r>
  <r>
    <s v="Lisa"/>
    <n v="28"/>
    <s v="Red's Meadow Resort"/>
    <s v="7 Dessert"/>
    <x v="25"/>
    <x v="12"/>
    <x v="0"/>
    <x v="11"/>
  </r>
  <r>
    <s v="Lisa"/>
    <n v="29"/>
    <s v="Red's Meadow Resort"/>
    <s v="1 Breakfast"/>
    <x v="10"/>
    <x v="7"/>
    <x v="5"/>
    <x v="6"/>
  </r>
  <r>
    <s v="Lisa"/>
    <n v="29"/>
    <s v="Red's Meadow Resort"/>
    <s v="2 Morning Snack"/>
    <x v="16"/>
    <x v="1"/>
    <x v="1"/>
    <x v="1"/>
  </r>
  <r>
    <s v="Lisa"/>
    <n v="29"/>
    <s v="Red's Meadow Resort"/>
    <s v="3 Lunch"/>
    <x v="6"/>
    <x v="4"/>
    <x v="4"/>
    <x v="2"/>
  </r>
  <r>
    <s v="Lisa"/>
    <n v="29"/>
    <s v="Red's Meadow Resort"/>
    <s v="4 Afternoon Snack"/>
    <x v="36"/>
    <x v="11"/>
    <x v="0"/>
    <x v="10"/>
  </r>
  <r>
    <s v="Lisa"/>
    <n v="29"/>
    <s v="Red's Meadow Resort"/>
    <s v="5 Dinner"/>
    <x v="29"/>
    <x v="3"/>
    <x v="3"/>
    <x v="1"/>
  </r>
  <r>
    <s v="Lisa"/>
    <n v="29"/>
    <s v="Red's Meadow Resort"/>
    <s v="6 Recovery"/>
    <x v="8"/>
    <x v="6"/>
    <x v="5"/>
    <x v="4"/>
  </r>
  <r>
    <s v="Lisa"/>
    <n v="29"/>
    <s v="Red's Meadow Resort"/>
    <s v="7 Dessert"/>
    <x v="14"/>
    <x v="3"/>
    <x v="3"/>
    <x v="1"/>
  </r>
  <r>
    <s v="Joe"/>
    <n v="0"/>
    <s v="Carry"/>
    <s v="2 Morning Snack"/>
    <x v="0"/>
    <x v="0"/>
    <x v="0"/>
    <x v="0"/>
  </r>
  <r>
    <s v="Joe"/>
    <n v="0"/>
    <s v="Carry"/>
    <s v="3 Lunch"/>
    <x v="37"/>
    <x v="16"/>
    <x v="0"/>
    <x v="4"/>
  </r>
  <r>
    <s v="Joe"/>
    <n v="0"/>
    <s v="Carry"/>
    <s v="4 Afternoon Snack"/>
    <x v="16"/>
    <x v="1"/>
    <x v="1"/>
    <x v="1"/>
  </r>
  <r>
    <s v="Joe"/>
    <n v="0"/>
    <s v="Carry"/>
    <s v="5 Dinner"/>
    <x v="38"/>
    <x v="1"/>
    <x v="1"/>
    <x v="1"/>
  </r>
  <r>
    <s v="Joe"/>
    <n v="1"/>
    <s v="Carry"/>
    <s v="1 Breakfast"/>
    <x v="4"/>
    <x v="3"/>
    <x v="3"/>
    <x v="1"/>
  </r>
  <r>
    <s v="Joe"/>
    <n v="1"/>
    <s v="Carry"/>
    <s v="2 Morning Snack"/>
    <x v="12"/>
    <x v="9"/>
    <x v="0"/>
    <x v="8"/>
  </r>
  <r>
    <s v="Joe"/>
    <n v="1"/>
    <s v="Carry"/>
    <s v="3 Lunch"/>
    <x v="6"/>
    <x v="4"/>
    <x v="4"/>
    <x v="2"/>
  </r>
  <r>
    <s v="Joe"/>
    <n v="1"/>
    <s v="Carry"/>
    <s v="4 Afternoon Snack"/>
    <x v="20"/>
    <x v="2"/>
    <x v="2"/>
    <x v="1"/>
  </r>
  <r>
    <s v="Joe"/>
    <n v="1"/>
    <s v="Carry"/>
    <s v="5 Dinner"/>
    <x v="32"/>
    <x v="3"/>
    <x v="3"/>
    <x v="1"/>
  </r>
  <r>
    <s v="Joe"/>
    <n v="1"/>
    <s v="Carry"/>
    <s v="6 Recovery"/>
    <x v="8"/>
    <x v="6"/>
    <x v="5"/>
    <x v="4"/>
  </r>
  <r>
    <s v="Joe"/>
    <n v="1"/>
    <s v="Carry"/>
    <s v="7 Dessert"/>
    <x v="9"/>
    <x v="5"/>
    <x v="0"/>
    <x v="5"/>
  </r>
  <r>
    <s v="Joe"/>
    <n v="2"/>
    <s v="Carry"/>
    <s v="1 Breakfast"/>
    <x v="15"/>
    <x v="5"/>
    <x v="0"/>
    <x v="3"/>
  </r>
  <r>
    <s v="Joe"/>
    <n v="2"/>
    <s v="Carry"/>
    <s v="2 Morning Snack"/>
    <x v="23"/>
    <x v="10"/>
    <x v="5"/>
    <x v="7"/>
  </r>
  <r>
    <s v="Joe"/>
    <n v="2"/>
    <s v="Carry"/>
    <s v="3 Lunch"/>
    <x v="6"/>
    <x v="4"/>
    <x v="4"/>
    <x v="2"/>
  </r>
  <r>
    <s v="Joe"/>
    <n v="2"/>
    <s v="Carry"/>
    <s v="4 Afternoon Snack"/>
    <x v="39"/>
    <x v="8"/>
    <x v="5"/>
    <x v="7"/>
  </r>
  <r>
    <s v="Joe"/>
    <n v="2"/>
    <s v="Carry"/>
    <s v="5 Dinner"/>
    <x v="27"/>
    <x v="3"/>
    <x v="0"/>
    <x v="3"/>
  </r>
  <r>
    <s v="Joe"/>
    <n v="2"/>
    <s v="Carry"/>
    <s v="6 Recovery"/>
    <x v="8"/>
    <x v="6"/>
    <x v="5"/>
    <x v="4"/>
  </r>
  <r>
    <s v="Joe"/>
    <n v="2"/>
    <s v="Carry"/>
    <s v="7 Dessert"/>
    <x v="25"/>
    <x v="12"/>
    <x v="0"/>
    <x v="11"/>
  </r>
  <r>
    <s v="Joe"/>
    <n v="3"/>
    <s v="Carry"/>
    <s v="1 Breakfast"/>
    <x v="15"/>
    <x v="5"/>
    <x v="0"/>
    <x v="3"/>
  </r>
  <r>
    <s v="Joe"/>
    <n v="3"/>
    <s v="Carry"/>
    <s v="2 Morning Snack"/>
    <x v="26"/>
    <x v="11"/>
    <x v="0"/>
    <x v="10"/>
  </r>
  <r>
    <s v="Joe"/>
    <n v="3"/>
    <s v="Carry"/>
    <s v="3 Lunch"/>
    <x v="6"/>
    <x v="4"/>
    <x v="4"/>
    <x v="2"/>
  </r>
  <r>
    <s v="Joe"/>
    <n v="3"/>
    <s v="Carry"/>
    <s v="4 Afternoon Snack"/>
    <x v="37"/>
    <x v="16"/>
    <x v="0"/>
    <x v="4"/>
  </r>
  <r>
    <s v="Joe"/>
    <n v="3"/>
    <s v="Carry"/>
    <s v="5 Dinner"/>
    <x v="40"/>
    <x v="5"/>
    <x v="0"/>
    <x v="1"/>
  </r>
  <r>
    <s v="Joe"/>
    <n v="3"/>
    <s v="Carry"/>
    <s v="6 Recovery"/>
    <x v="8"/>
    <x v="6"/>
    <x v="5"/>
    <x v="4"/>
  </r>
  <r>
    <s v="Joe"/>
    <n v="3"/>
    <s v="Carry"/>
    <s v="7 Dessert"/>
    <x v="14"/>
    <x v="3"/>
    <x v="3"/>
    <x v="1"/>
  </r>
  <r>
    <s v="Joe"/>
    <n v="4"/>
    <s v="Carry"/>
    <s v="1 Breakfast"/>
    <x v="4"/>
    <x v="3"/>
    <x v="3"/>
    <x v="1"/>
  </r>
  <r>
    <s v="Joe"/>
    <n v="4"/>
    <s v="Carry"/>
    <s v="2 Morning Snack"/>
    <x v="20"/>
    <x v="2"/>
    <x v="2"/>
    <x v="1"/>
  </r>
  <r>
    <s v="Joe"/>
    <n v="4"/>
    <s v="Carry"/>
    <s v="3 Lunch"/>
    <x v="6"/>
    <x v="4"/>
    <x v="4"/>
    <x v="2"/>
  </r>
  <r>
    <s v="Joe"/>
    <n v="4"/>
    <s v="Carry"/>
    <s v="4 Afternoon Snack"/>
    <x v="16"/>
    <x v="1"/>
    <x v="1"/>
    <x v="1"/>
  </r>
  <r>
    <s v="Joe"/>
    <n v="4"/>
    <s v="Carry"/>
    <s v="5 Dinner"/>
    <x v="41"/>
    <x v="5"/>
    <x v="0"/>
    <x v="5"/>
  </r>
  <r>
    <s v="Joe"/>
    <n v="4"/>
    <s v="Carry"/>
    <s v="6 Recovery"/>
    <x v="8"/>
    <x v="6"/>
    <x v="5"/>
    <x v="4"/>
  </r>
  <r>
    <s v="Joe"/>
    <n v="4"/>
    <s v="Carry"/>
    <s v="7 Dessert"/>
    <x v="22"/>
    <x v="5"/>
    <x v="0"/>
    <x v="9"/>
  </r>
  <r>
    <s v="Joe"/>
    <n v="5"/>
    <s v="Carry"/>
    <s v="1 Breakfast"/>
    <x v="4"/>
    <x v="3"/>
    <x v="3"/>
    <x v="1"/>
  </r>
  <r>
    <s v="Joe"/>
    <n v="5"/>
    <s v="Carry"/>
    <s v="2 Morning Snack"/>
    <x v="36"/>
    <x v="11"/>
    <x v="0"/>
    <x v="10"/>
  </r>
  <r>
    <s v="Joe"/>
    <n v="5"/>
    <s v="Carry"/>
    <s v="3 Lunch"/>
    <x v="6"/>
    <x v="4"/>
    <x v="4"/>
    <x v="2"/>
  </r>
  <r>
    <s v="Joe"/>
    <n v="5"/>
    <s v="Carry"/>
    <s v="4 Afternoon Snack"/>
    <x v="5"/>
    <x v="1"/>
    <x v="1"/>
    <x v="1"/>
  </r>
  <r>
    <s v="Joe"/>
    <n v="5"/>
    <s v="Carry"/>
    <s v="5 Dinner"/>
    <x v="38"/>
    <x v="1"/>
    <x v="1"/>
    <x v="1"/>
  </r>
  <r>
    <s v="Joe"/>
    <n v="5"/>
    <s v="Carry"/>
    <s v="6 Recovery"/>
    <x v="8"/>
    <x v="6"/>
    <x v="5"/>
    <x v="4"/>
  </r>
  <r>
    <s v="Joe"/>
    <n v="5"/>
    <s v="Carry"/>
    <s v="7 Dessert"/>
    <x v="25"/>
    <x v="12"/>
    <x v="0"/>
    <x v="11"/>
  </r>
  <r>
    <s v="Joe"/>
    <n v="6"/>
    <s v="Carry"/>
    <s v="1 Breakfast"/>
    <x v="15"/>
    <x v="5"/>
    <x v="0"/>
    <x v="3"/>
  </r>
  <r>
    <s v="Joe"/>
    <n v="6"/>
    <s v="Carry"/>
    <s v="2 Morning Snack"/>
    <x v="24"/>
    <x v="11"/>
    <x v="0"/>
    <x v="10"/>
  </r>
  <r>
    <s v="Joe"/>
    <n v="6"/>
    <s v="Carry"/>
    <s v="3 Lunch"/>
    <x v="6"/>
    <x v="4"/>
    <x v="4"/>
    <x v="2"/>
  </r>
  <r>
    <s v="Joe"/>
    <n v="6"/>
    <s v="Carry"/>
    <s v="4 Afternoon Snack"/>
    <x v="5"/>
    <x v="1"/>
    <x v="1"/>
    <x v="1"/>
  </r>
  <r>
    <s v="Joe"/>
    <n v="6"/>
    <s v="Carry"/>
    <s v="5 Dinner"/>
    <x v="3"/>
    <x v="3"/>
    <x v="3"/>
    <x v="1"/>
  </r>
  <r>
    <s v="Joe"/>
    <n v="6"/>
    <s v="Carry"/>
    <s v="6 Recovery"/>
    <x v="8"/>
    <x v="6"/>
    <x v="5"/>
    <x v="4"/>
  </r>
  <r>
    <s v="Joe"/>
    <n v="6"/>
    <s v="Carry"/>
    <s v="7 Dessert"/>
    <x v="22"/>
    <x v="5"/>
    <x v="0"/>
    <x v="9"/>
  </r>
  <r>
    <s v="Joe"/>
    <n v="7"/>
    <s v="Carry"/>
    <s v="1 Breakfast"/>
    <x v="4"/>
    <x v="3"/>
    <x v="3"/>
    <x v="1"/>
  </r>
  <r>
    <s v="Joe"/>
    <n v="7"/>
    <s v="Carry"/>
    <s v="2 Morning Snack"/>
    <x v="37"/>
    <x v="16"/>
    <x v="0"/>
    <x v="4"/>
  </r>
  <r>
    <s v="Joe"/>
    <n v="7"/>
    <s v="Carry"/>
    <s v="3 Lunch"/>
    <x v="6"/>
    <x v="4"/>
    <x v="4"/>
    <x v="2"/>
  </r>
  <r>
    <s v="Joe"/>
    <n v="7"/>
    <s v="Carry"/>
    <s v="4 Afternoon Snack"/>
    <x v="16"/>
    <x v="1"/>
    <x v="1"/>
    <x v="1"/>
  </r>
  <r>
    <s v="Joe"/>
    <n v="7"/>
    <s v="Carry"/>
    <s v="5 Dinner"/>
    <x v="27"/>
    <x v="3"/>
    <x v="0"/>
    <x v="3"/>
  </r>
  <r>
    <s v="Joe"/>
    <n v="7"/>
    <s v="Carry"/>
    <s v="6 Recovery"/>
    <x v="8"/>
    <x v="6"/>
    <x v="5"/>
    <x v="4"/>
  </r>
  <r>
    <s v="Joe"/>
    <n v="7"/>
    <s v="Carry"/>
    <s v="7 Dessert"/>
    <x v="14"/>
    <x v="3"/>
    <x v="3"/>
    <x v="1"/>
  </r>
  <r>
    <s v="Joe"/>
    <n v="8"/>
    <s v="Carry"/>
    <s v="1 Breakfast"/>
    <x v="4"/>
    <x v="3"/>
    <x v="3"/>
    <x v="1"/>
  </r>
  <r>
    <s v="Joe"/>
    <n v="8"/>
    <s v="Carry"/>
    <s v="2 Morning Snack"/>
    <x v="39"/>
    <x v="8"/>
    <x v="5"/>
    <x v="7"/>
  </r>
  <r>
    <s v="Joe"/>
    <n v="8"/>
    <s v="Carry"/>
    <s v="3 Lunch"/>
    <x v="6"/>
    <x v="4"/>
    <x v="4"/>
    <x v="2"/>
  </r>
  <r>
    <s v="Joe"/>
    <n v="8"/>
    <s v="Carry"/>
    <s v="4 Afternoon Snack"/>
    <x v="5"/>
    <x v="1"/>
    <x v="1"/>
    <x v="1"/>
  </r>
  <r>
    <s v="Joe"/>
    <n v="8"/>
    <s v="Carry"/>
    <s v="5 Dinner"/>
    <x v="3"/>
    <x v="3"/>
    <x v="3"/>
    <x v="1"/>
  </r>
  <r>
    <s v="Joe"/>
    <n v="8"/>
    <s v="Carry"/>
    <s v="6 Recovery"/>
    <x v="8"/>
    <x v="6"/>
    <x v="5"/>
    <x v="4"/>
  </r>
  <r>
    <s v="Joe"/>
    <n v="8"/>
    <s v="Carry"/>
    <s v="7 Dessert"/>
    <x v="25"/>
    <x v="12"/>
    <x v="0"/>
    <x v="11"/>
  </r>
  <r>
    <s v="Joe"/>
    <n v="9"/>
    <s v="Carry"/>
    <s v="1 Breakfast"/>
    <x v="4"/>
    <x v="3"/>
    <x v="3"/>
    <x v="1"/>
  </r>
  <r>
    <s v="Joe"/>
    <n v="9"/>
    <s v="Carry"/>
    <s v="2 Morning Snack"/>
    <x v="26"/>
    <x v="11"/>
    <x v="0"/>
    <x v="10"/>
  </r>
  <r>
    <s v="Joe"/>
    <n v="9"/>
    <s v="Carry"/>
    <s v="3 Lunch"/>
    <x v="6"/>
    <x v="4"/>
    <x v="4"/>
    <x v="2"/>
  </r>
  <r>
    <s v="Joe"/>
    <n v="9"/>
    <s v="Carry"/>
    <s v="4 Afternoon Snack"/>
    <x v="37"/>
    <x v="16"/>
    <x v="0"/>
    <x v="4"/>
  </r>
  <r>
    <s v="Joe"/>
    <n v="9"/>
    <s v="Carry"/>
    <s v="5 Dinner"/>
    <x v="40"/>
    <x v="5"/>
    <x v="0"/>
    <x v="1"/>
  </r>
  <r>
    <s v="Joe"/>
    <n v="9"/>
    <s v="Carry"/>
    <s v="6 Recovery"/>
    <x v="8"/>
    <x v="6"/>
    <x v="5"/>
    <x v="4"/>
  </r>
  <r>
    <s v="Joe"/>
    <n v="9"/>
    <s v="Carry"/>
    <s v="7 Dessert"/>
    <x v="25"/>
    <x v="12"/>
    <x v="0"/>
    <x v="11"/>
  </r>
  <r>
    <s v="Joe"/>
    <n v="10"/>
    <s v="Carry"/>
    <s v="1 Breakfast"/>
    <x v="15"/>
    <x v="5"/>
    <x v="0"/>
    <x v="3"/>
  </r>
  <r>
    <s v="Joe"/>
    <n v="10"/>
    <s v="Carry"/>
    <s v="2 Morning Snack"/>
    <x v="12"/>
    <x v="9"/>
    <x v="0"/>
    <x v="8"/>
  </r>
  <r>
    <s v="Joe"/>
    <n v="10"/>
    <s v="Carry"/>
    <s v="3 Lunch"/>
    <x v="6"/>
    <x v="4"/>
    <x v="4"/>
    <x v="2"/>
  </r>
  <r>
    <s v="Joe"/>
    <n v="10"/>
    <s v="Carry"/>
    <s v="4 Afternoon Snack"/>
    <x v="16"/>
    <x v="1"/>
    <x v="1"/>
    <x v="1"/>
  </r>
  <r>
    <s v="Joe"/>
    <n v="10"/>
    <s v="Carry"/>
    <s v="5 Dinner"/>
    <x v="27"/>
    <x v="3"/>
    <x v="0"/>
    <x v="3"/>
  </r>
  <r>
    <s v="Joe"/>
    <n v="10"/>
    <s v="Carry"/>
    <s v="6 Recovery"/>
    <x v="8"/>
    <x v="6"/>
    <x v="5"/>
    <x v="4"/>
  </r>
  <r>
    <s v="Joe"/>
    <n v="10"/>
    <s v="Carry"/>
    <s v="7 Dessert"/>
    <x v="25"/>
    <x v="12"/>
    <x v="0"/>
    <x v="11"/>
  </r>
  <r>
    <s v="Joe"/>
    <n v="11"/>
    <s v="Muir Trail Ranch"/>
    <s v="1 Breakfast"/>
    <x v="33"/>
    <x v="14"/>
    <x v="6"/>
    <x v="0"/>
  </r>
  <r>
    <s v="Joe"/>
    <n v="11"/>
    <s v="Muir Trail Ranch"/>
    <s v="2 Morning Snack"/>
    <x v="10"/>
    <x v="7"/>
    <x v="5"/>
    <x v="6"/>
  </r>
  <r>
    <s v="Joe"/>
    <n v="11"/>
    <s v="Muir Trail Ranch"/>
    <s v="3 Lunch"/>
    <x v="0"/>
    <x v="0"/>
    <x v="0"/>
    <x v="0"/>
  </r>
  <r>
    <s v="Joe"/>
    <n v="11"/>
    <s v="Muir Trail Ranch"/>
    <s v="4 Afternoon Snack"/>
    <x v="2"/>
    <x v="2"/>
    <x v="2"/>
    <x v="1"/>
  </r>
  <r>
    <s v="Joe"/>
    <n v="11"/>
    <s v="Muir Trail Ranch"/>
    <s v="5 Dinner"/>
    <x v="32"/>
    <x v="3"/>
    <x v="3"/>
    <x v="1"/>
  </r>
  <r>
    <s v="Joe"/>
    <n v="11"/>
    <s v="Muir Trail Ranch"/>
    <s v="6 Recovery"/>
    <x v="6"/>
    <x v="4"/>
    <x v="4"/>
    <x v="2"/>
  </r>
  <r>
    <s v="Joe"/>
    <n v="11"/>
    <s v="Muir Trail Ranch"/>
    <s v="7 Dessert"/>
    <x v="14"/>
    <x v="3"/>
    <x v="3"/>
    <x v="1"/>
  </r>
  <r>
    <s v="Joe"/>
    <n v="12"/>
    <s v="Muir Trail Ranch"/>
    <s v="1 Breakfast"/>
    <x v="4"/>
    <x v="3"/>
    <x v="3"/>
    <x v="1"/>
  </r>
  <r>
    <s v="Joe"/>
    <n v="12"/>
    <s v="Muir Trail Ranch"/>
    <s v="2 Morning Snack"/>
    <x v="20"/>
    <x v="2"/>
    <x v="2"/>
    <x v="1"/>
  </r>
  <r>
    <s v="Joe"/>
    <n v="12"/>
    <s v="Muir Trail Ranch"/>
    <s v="3 Lunch"/>
    <x v="0"/>
    <x v="0"/>
    <x v="0"/>
    <x v="0"/>
  </r>
  <r>
    <s v="Joe"/>
    <n v="12"/>
    <s v="Muir Trail Ranch"/>
    <s v="4 Afternoon Snack"/>
    <x v="5"/>
    <x v="1"/>
    <x v="1"/>
    <x v="1"/>
  </r>
  <r>
    <s v="Joe"/>
    <n v="12"/>
    <s v="Muir Trail Ranch"/>
    <s v="5 Dinner"/>
    <x v="3"/>
    <x v="3"/>
    <x v="3"/>
    <x v="1"/>
  </r>
  <r>
    <s v="Joe"/>
    <n v="12"/>
    <s v="Muir Trail Ranch"/>
    <s v="6 Recovery"/>
    <x v="8"/>
    <x v="6"/>
    <x v="5"/>
    <x v="4"/>
  </r>
  <r>
    <s v="Joe"/>
    <n v="12"/>
    <s v="Muir Trail Ranch"/>
    <s v="7 Dessert"/>
    <x v="25"/>
    <x v="12"/>
    <x v="0"/>
    <x v="11"/>
  </r>
  <r>
    <s v="Joe"/>
    <n v="13"/>
    <s v="Muir Trail Ranch"/>
    <s v="1 Breakfast"/>
    <x v="15"/>
    <x v="5"/>
    <x v="0"/>
    <x v="3"/>
  </r>
  <r>
    <s v="Joe"/>
    <n v="13"/>
    <s v="Muir Trail Ranch"/>
    <s v="2 Morning Snack"/>
    <x v="2"/>
    <x v="2"/>
    <x v="2"/>
    <x v="1"/>
  </r>
  <r>
    <s v="Joe"/>
    <n v="13"/>
    <s v="Muir Trail Ranch"/>
    <s v="3 Lunch"/>
    <x v="6"/>
    <x v="4"/>
    <x v="4"/>
    <x v="2"/>
  </r>
  <r>
    <s v="Joe"/>
    <n v="13"/>
    <s v="Muir Trail Ranch"/>
    <s v="4 Afternoon Snack"/>
    <x v="37"/>
    <x v="16"/>
    <x v="0"/>
    <x v="4"/>
  </r>
  <r>
    <s v="Joe"/>
    <n v="13"/>
    <s v="Muir Trail Ranch"/>
    <s v="5 Dinner"/>
    <x v="7"/>
    <x v="5"/>
    <x v="0"/>
    <x v="3"/>
  </r>
  <r>
    <s v="Joe"/>
    <n v="13"/>
    <s v="Muir Trail Ranch"/>
    <s v="6 Recovery"/>
    <x v="8"/>
    <x v="6"/>
    <x v="5"/>
    <x v="4"/>
  </r>
  <r>
    <s v="Joe"/>
    <n v="13"/>
    <s v="Muir Trail Ranch"/>
    <s v="7 Dessert"/>
    <x v="9"/>
    <x v="5"/>
    <x v="0"/>
    <x v="5"/>
  </r>
  <r>
    <s v="Joe"/>
    <n v="14"/>
    <s v="Muir Trail Ranch"/>
    <s v="1 Breakfast"/>
    <x v="15"/>
    <x v="5"/>
    <x v="0"/>
    <x v="3"/>
  </r>
  <r>
    <s v="Joe"/>
    <n v="14"/>
    <s v="Muir Trail Ranch"/>
    <s v="2 Morning Snack"/>
    <x v="16"/>
    <x v="1"/>
    <x v="1"/>
    <x v="1"/>
  </r>
  <r>
    <s v="Joe"/>
    <n v="14"/>
    <s v="Muir Trail Ranch"/>
    <s v="3 Lunch"/>
    <x v="5"/>
    <x v="1"/>
    <x v="1"/>
    <x v="1"/>
  </r>
  <r>
    <s v="Joe"/>
    <n v="14"/>
    <s v="Muir Trail Ranch"/>
    <s v="4 Afternoon Snack"/>
    <x v="37"/>
    <x v="16"/>
    <x v="0"/>
    <x v="4"/>
  </r>
  <r>
    <s v="Joe"/>
    <n v="14"/>
    <s v="Muir Trail Ranch"/>
    <s v="5 Dinner"/>
    <x v="42"/>
    <x v="1"/>
    <x v="1"/>
    <x v="1"/>
  </r>
  <r>
    <s v="Joe"/>
    <n v="14"/>
    <s v="Muir Trail Ranch"/>
    <s v="6 Recovery"/>
    <x v="8"/>
    <x v="6"/>
    <x v="5"/>
    <x v="4"/>
  </r>
  <r>
    <s v="Joe"/>
    <n v="14"/>
    <s v="Muir Trail Ranch"/>
    <s v="7 Dessert"/>
    <x v="25"/>
    <x v="12"/>
    <x v="0"/>
    <x v="11"/>
  </r>
  <r>
    <s v="Joe"/>
    <n v="15"/>
    <s v="Vermillion Valley Resort"/>
    <s v="1 Breakfast"/>
    <x v="33"/>
    <x v="14"/>
    <x v="6"/>
    <x v="0"/>
  </r>
  <r>
    <s v="Joe"/>
    <n v="15"/>
    <s v="Vermillion Valley Resort"/>
    <s v="2 Morning Snack"/>
    <x v="10"/>
    <x v="7"/>
    <x v="5"/>
    <x v="6"/>
  </r>
  <r>
    <s v="Joe"/>
    <n v="15"/>
    <s v="Vermillion Valley Resort"/>
    <s v="3 Lunch"/>
    <x v="0"/>
    <x v="0"/>
    <x v="0"/>
    <x v="0"/>
  </r>
  <r>
    <s v="Joe"/>
    <n v="15"/>
    <s v="Vermillion Valley Resort"/>
    <s v="4 Afternoon Snack"/>
    <x v="20"/>
    <x v="2"/>
    <x v="2"/>
    <x v="1"/>
  </r>
  <r>
    <s v="Joe"/>
    <n v="15"/>
    <s v="Vermillion Valley Resort"/>
    <s v="5 Dinner"/>
    <x v="21"/>
    <x v="5"/>
    <x v="0"/>
    <x v="3"/>
  </r>
  <r>
    <s v="Joe"/>
    <n v="15"/>
    <s v="Vermillion Valley Resort"/>
    <s v="6 Recovery"/>
    <x v="6"/>
    <x v="4"/>
    <x v="4"/>
    <x v="2"/>
  </r>
  <r>
    <s v="Joe"/>
    <n v="15"/>
    <s v="Vermillion Valley Resort"/>
    <s v="7 Dessert"/>
    <x v="25"/>
    <x v="12"/>
    <x v="0"/>
    <x v="11"/>
  </r>
  <r>
    <s v="Joe"/>
    <n v="16"/>
    <s v="Vermillion Valley Resort"/>
    <s v="1 Breakfast"/>
    <x v="43"/>
    <x v="7"/>
    <x v="5"/>
    <x v="6"/>
  </r>
  <r>
    <s v="Joe"/>
    <n v="16"/>
    <s v="Vermillion Valley Resort"/>
    <s v="2 Morning Snack"/>
    <x v="43"/>
    <x v="7"/>
    <x v="5"/>
    <x v="6"/>
  </r>
  <r>
    <s v="Joe"/>
    <n v="16"/>
    <s v="Vermillion Valley Resort"/>
    <s v="3 Lunch"/>
    <x v="0"/>
    <x v="0"/>
    <x v="0"/>
    <x v="0"/>
  </r>
  <r>
    <s v="Joe"/>
    <n v="16"/>
    <s v="Vermillion Valley Resort"/>
    <s v="4 Afternoon Snack"/>
    <x v="17"/>
    <x v="2"/>
    <x v="2"/>
    <x v="1"/>
  </r>
  <r>
    <s v="Joe"/>
    <n v="16"/>
    <s v="Vermillion Valley Resort"/>
    <s v="5 Dinner"/>
    <x v="32"/>
    <x v="3"/>
    <x v="3"/>
    <x v="1"/>
  </r>
  <r>
    <s v="Joe"/>
    <n v="16"/>
    <s v="Vermillion Valley Resort"/>
    <s v="6 Recovery"/>
    <x v="6"/>
    <x v="4"/>
    <x v="4"/>
    <x v="2"/>
  </r>
  <r>
    <s v="Joe"/>
    <n v="16"/>
    <s v="Vermillion Valley Resort"/>
    <s v="7 Dessert"/>
    <x v="14"/>
    <x v="3"/>
    <x v="3"/>
    <x v="1"/>
  </r>
  <r>
    <s v="Joe"/>
    <n v="17"/>
    <s v="Vermillion Valley Resort"/>
    <s v="1 Breakfast"/>
    <x v="4"/>
    <x v="3"/>
    <x v="3"/>
    <x v="1"/>
  </r>
  <r>
    <s v="Joe"/>
    <n v="17"/>
    <s v="Vermillion Valley Resort"/>
    <s v="2 Morning Snack"/>
    <x v="20"/>
    <x v="2"/>
    <x v="2"/>
    <x v="1"/>
  </r>
  <r>
    <s v="Joe"/>
    <n v="17"/>
    <s v="Vermillion Valley Resort"/>
    <s v="3 Lunch"/>
    <x v="6"/>
    <x v="4"/>
    <x v="4"/>
    <x v="2"/>
  </r>
  <r>
    <s v="Joe"/>
    <n v="17"/>
    <s v="Vermillion Valley Resort"/>
    <s v="4 Afternoon Snack"/>
    <x v="5"/>
    <x v="1"/>
    <x v="1"/>
    <x v="1"/>
  </r>
  <r>
    <s v="Joe"/>
    <n v="17"/>
    <s v="Vermillion Valley Resort"/>
    <s v="5 Dinner"/>
    <x v="3"/>
    <x v="3"/>
    <x v="3"/>
    <x v="1"/>
  </r>
  <r>
    <s v="Joe"/>
    <n v="17"/>
    <s v="Vermillion Valley Resort"/>
    <s v="6 Recovery"/>
    <x v="8"/>
    <x v="6"/>
    <x v="5"/>
    <x v="4"/>
  </r>
  <r>
    <s v="Joe"/>
    <n v="17"/>
    <s v="Vermillion Valley Resort"/>
    <s v="7 Dessert"/>
    <x v="22"/>
    <x v="5"/>
    <x v="0"/>
    <x v="9"/>
  </r>
  <r>
    <s v="Joe"/>
    <n v="18"/>
    <s v="Vermillion Valley Resort"/>
    <s v="1 Breakfast"/>
    <x v="4"/>
    <x v="3"/>
    <x v="3"/>
    <x v="1"/>
  </r>
  <r>
    <s v="Joe"/>
    <n v="18"/>
    <s v="Vermillion Valley Resort"/>
    <s v="2 Morning Snack"/>
    <x v="2"/>
    <x v="2"/>
    <x v="2"/>
    <x v="1"/>
  </r>
  <r>
    <s v="Joe"/>
    <n v="18"/>
    <s v="Vermillion Valley Resort"/>
    <s v="3 Lunch"/>
    <x v="6"/>
    <x v="4"/>
    <x v="4"/>
    <x v="2"/>
  </r>
  <r>
    <s v="Joe"/>
    <n v="18"/>
    <s v="Vermillion Valley Resort"/>
    <s v="4 Afternoon Snack"/>
    <x v="36"/>
    <x v="11"/>
    <x v="0"/>
    <x v="10"/>
  </r>
  <r>
    <s v="Joe"/>
    <n v="18"/>
    <s v="Vermillion Valley Resort"/>
    <s v="5 Dinner"/>
    <x v="41"/>
    <x v="5"/>
    <x v="0"/>
    <x v="5"/>
  </r>
  <r>
    <s v="Joe"/>
    <n v="18"/>
    <s v="Vermillion Valley Resort"/>
    <s v="6 Recovery"/>
    <x v="8"/>
    <x v="6"/>
    <x v="5"/>
    <x v="4"/>
  </r>
  <r>
    <s v="Joe"/>
    <n v="18"/>
    <s v="Vermillion Valley Resort"/>
    <s v="7 Dessert"/>
    <x v="25"/>
    <x v="12"/>
    <x v="0"/>
    <x v="11"/>
  </r>
  <r>
    <s v="Joe"/>
    <n v="19"/>
    <s v="Vermillion Valley Resort"/>
    <s v="1 Breakfast"/>
    <x v="4"/>
    <x v="3"/>
    <x v="3"/>
    <x v="1"/>
  </r>
  <r>
    <s v="Joe"/>
    <n v="19"/>
    <s v="Vermillion Valley Resort"/>
    <s v="2 Morning Snack"/>
    <x v="26"/>
    <x v="11"/>
    <x v="0"/>
    <x v="10"/>
  </r>
  <r>
    <s v="Joe"/>
    <n v="19"/>
    <s v="Vermillion Valley Resort"/>
    <s v="3 Lunch"/>
    <x v="6"/>
    <x v="4"/>
    <x v="4"/>
    <x v="2"/>
  </r>
  <r>
    <s v="Joe"/>
    <n v="19"/>
    <s v="Vermillion Valley Resort"/>
    <s v="4 Afternoon Snack"/>
    <x v="37"/>
    <x v="16"/>
    <x v="0"/>
    <x v="4"/>
  </r>
  <r>
    <s v="Joe"/>
    <n v="19"/>
    <s v="Vermillion Valley Resort"/>
    <s v="5 Dinner"/>
    <x v="44"/>
    <x v="1"/>
    <x v="1"/>
    <x v="1"/>
  </r>
  <r>
    <s v="Joe"/>
    <n v="19"/>
    <s v="Vermillion Valley Resort"/>
    <s v="6 Recovery"/>
    <x v="8"/>
    <x v="6"/>
    <x v="5"/>
    <x v="4"/>
  </r>
  <r>
    <s v="Joe"/>
    <n v="19"/>
    <s v="Vermillion Valley Resort"/>
    <s v="7 Dessert"/>
    <x v="25"/>
    <x v="12"/>
    <x v="0"/>
    <x v="11"/>
  </r>
  <r>
    <s v="Joe"/>
    <n v="20"/>
    <s v="Vermillion Valley Resort"/>
    <s v="1 Breakfast"/>
    <x v="15"/>
    <x v="5"/>
    <x v="0"/>
    <x v="3"/>
  </r>
  <r>
    <s v="Joe"/>
    <n v="20"/>
    <s v="Vermillion Valley Resort"/>
    <s v="2 Morning Snack"/>
    <x v="17"/>
    <x v="2"/>
    <x v="2"/>
    <x v="1"/>
  </r>
  <r>
    <s v="Joe"/>
    <n v="20"/>
    <s v="Vermillion Valley Resort"/>
    <s v="3 Lunch"/>
    <x v="6"/>
    <x v="4"/>
    <x v="4"/>
    <x v="2"/>
  </r>
  <r>
    <s v="Joe"/>
    <n v="20"/>
    <s v="Vermillion Valley Resort"/>
    <s v="4 Afternoon Snack"/>
    <x v="20"/>
    <x v="2"/>
    <x v="2"/>
    <x v="1"/>
  </r>
  <r>
    <s v="Joe"/>
    <n v="20"/>
    <s v="Vermillion Valley Resort"/>
    <s v="5 Dinner"/>
    <x v="42"/>
    <x v="1"/>
    <x v="1"/>
    <x v="1"/>
  </r>
  <r>
    <s v="Joe"/>
    <n v="20"/>
    <s v="Vermillion Valley Resort"/>
    <s v="6 Recovery"/>
    <x v="8"/>
    <x v="6"/>
    <x v="5"/>
    <x v="4"/>
  </r>
  <r>
    <s v="Joe"/>
    <n v="20"/>
    <s v="Vermillion Valley Resort"/>
    <s v="7 Dessert"/>
    <x v="22"/>
    <x v="5"/>
    <x v="0"/>
    <x v="9"/>
  </r>
  <r>
    <s v="Joe"/>
    <n v="21"/>
    <s v="Red's Meadow Resort"/>
    <s v="1 Breakfast"/>
    <x v="33"/>
    <x v="14"/>
    <x v="6"/>
    <x v="0"/>
  </r>
  <r>
    <s v="Joe"/>
    <n v="21"/>
    <s v="Red's Meadow Resort"/>
    <s v="2 Morning Snack"/>
    <x v="10"/>
    <x v="7"/>
    <x v="5"/>
    <x v="6"/>
  </r>
  <r>
    <s v="Joe"/>
    <n v="21"/>
    <s v="Red's Meadow Resort"/>
    <s v="3 Lunch"/>
    <x v="0"/>
    <x v="0"/>
    <x v="0"/>
    <x v="0"/>
  </r>
  <r>
    <s v="Joe"/>
    <n v="21"/>
    <s v="Red's Meadow Resort"/>
    <s v="4 Afternoon Snack"/>
    <x v="20"/>
    <x v="2"/>
    <x v="2"/>
    <x v="1"/>
  </r>
  <r>
    <s v="Joe"/>
    <n v="21"/>
    <s v="Red's Meadow Resort"/>
    <s v="5 Dinner"/>
    <x v="35"/>
    <x v="3"/>
    <x v="3"/>
    <x v="1"/>
  </r>
  <r>
    <s v="Joe"/>
    <n v="21"/>
    <s v="Red's Meadow Resort"/>
    <s v="6 Recovery"/>
    <x v="6"/>
    <x v="4"/>
    <x v="4"/>
    <x v="2"/>
  </r>
  <r>
    <s v="Joe"/>
    <n v="21"/>
    <s v="Red's Meadow Resort"/>
    <s v="7 Dessert"/>
    <x v="25"/>
    <x v="12"/>
    <x v="0"/>
    <x v="11"/>
  </r>
  <r>
    <s v="Joe"/>
    <n v="22"/>
    <s v="Red's Meadow Resort"/>
    <s v="1 Breakfast"/>
    <x v="43"/>
    <x v="7"/>
    <x v="5"/>
    <x v="6"/>
  </r>
  <r>
    <s v="Joe"/>
    <n v="22"/>
    <s v="Red's Meadow Resort"/>
    <s v="2 Morning Snack"/>
    <x v="10"/>
    <x v="7"/>
    <x v="5"/>
    <x v="6"/>
  </r>
  <r>
    <s v="Joe"/>
    <n v="22"/>
    <s v="Red's Meadow Resort"/>
    <s v="3 Lunch"/>
    <x v="0"/>
    <x v="0"/>
    <x v="0"/>
    <x v="0"/>
  </r>
  <r>
    <s v="Joe"/>
    <n v="22"/>
    <s v="Red's Meadow Resort"/>
    <s v="4 Afternoon Snack"/>
    <x v="20"/>
    <x v="2"/>
    <x v="2"/>
    <x v="1"/>
  </r>
  <r>
    <s v="Joe"/>
    <n v="22"/>
    <s v="Red's Meadow Resort"/>
    <s v="5 Dinner"/>
    <x v="3"/>
    <x v="3"/>
    <x v="3"/>
    <x v="1"/>
  </r>
  <r>
    <s v="Joe"/>
    <n v="22"/>
    <s v="Red's Meadow Resort"/>
    <s v="6 Recovery"/>
    <x v="6"/>
    <x v="4"/>
    <x v="4"/>
    <x v="2"/>
  </r>
  <r>
    <s v="Joe"/>
    <n v="22"/>
    <s v="Red's Meadow Resort"/>
    <s v="7 Dessert"/>
    <x v="14"/>
    <x v="3"/>
    <x v="3"/>
    <x v="1"/>
  </r>
  <r>
    <s v="Joe"/>
    <n v="23"/>
    <s v="Red's Meadow Resort"/>
    <s v="1 Breakfast"/>
    <x v="4"/>
    <x v="3"/>
    <x v="3"/>
    <x v="1"/>
  </r>
  <r>
    <s v="Joe"/>
    <n v="23"/>
    <s v="Red's Meadow Resort"/>
    <s v="2 Morning Snack"/>
    <x v="20"/>
    <x v="2"/>
    <x v="2"/>
    <x v="1"/>
  </r>
  <r>
    <s v="Joe"/>
    <n v="23"/>
    <s v="Red's Meadow Resort"/>
    <s v="3 Lunch"/>
    <x v="6"/>
    <x v="4"/>
    <x v="4"/>
    <x v="2"/>
  </r>
  <r>
    <s v="Joe"/>
    <n v="23"/>
    <s v="Red's Meadow Resort"/>
    <s v="4 Afternoon Snack"/>
    <x v="5"/>
    <x v="1"/>
    <x v="1"/>
    <x v="1"/>
  </r>
  <r>
    <s v="Joe"/>
    <n v="23"/>
    <s v="Red's Meadow Resort"/>
    <s v="5 Dinner"/>
    <x v="27"/>
    <x v="3"/>
    <x v="0"/>
    <x v="3"/>
  </r>
  <r>
    <s v="Joe"/>
    <n v="23"/>
    <s v="Red's Meadow Resort"/>
    <s v="6 Recovery"/>
    <x v="8"/>
    <x v="6"/>
    <x v="5"/>
    <x v="4"/>
  </r>
  <r>
    <s v="Joe"/>
    <n v="23"/>
    <s v="Red's Meadow Resort"/>
    <s v="7 Dessert"/>
    <x v="34"/>
    <x v="15"/>
    <x v="5"/>
    <x v="12"/>
  </r>
  <r>
    <s v="Joe"/>
    <n v="24"/>
    <s v="Red's Meadow Resort"/>
    <s v="1 Breakfast"/>
    <x v="4"/>
    <x v="3"/>
    <x v="3"/>
    <x v="1"/>
  </r>
  <r>
    <s v="Joe"/>
    <n v="24"/>
    <s v="Red's Meadow Resort"/>
    <s v="2 Morning Snack"/>
    <x v="37"/>
    <x v="16"/>
    <x v="0"/>
    <x v="4"/>
  </r>
  <r>
    <s v="Joe"/>
    <n v="24"/>
    <s v="Red's Meadow Resort"/>
    <s v="3 Lunch"/>
    <x v="6"/>
    <x v="4"/>
    <x v="4"/>
    <x v="2"/>
  </r>
  <r>
    <s v="Joe"/>
    <n v="24"/>
    <s v="Red's Meadow Resort"/>
    <s v="4 Afternoon Snack"/>
    <x v="23"/>
    <x v="10"/>
    <x v="5"/>
    <x v="7"/>
  </r>
  <r>
    <s v="Joe"/>
    <n v="24"/>
    <s v="Red's Meadow Resort"/>
    <s v="5 Dinner"/>
    <x v="40"/>
    <x v="5"/>
    <x v="0"/>
    <x v="1"/>
  </r>
  <r>
    <s v="Joe"/>
    <n v="24"/>
    <s v="Red's Meadow Resort"/>
    <s v="6 Recovery"/>
    <x v="8"/>
    <x v="6"/>
    <x v="5"/>
    <x v="4"/>
  </r>
  <r>
    <s v="Joe"/>
    <n v="24"/>
    <s v="Red's Meadow Resort"/>
    <s v="7 Dessert"/>
    <x v="25"/>
    <x v="12"/>
    <x v="0"/>
    <x v="11"/>
  </r>
  <r>
    <s v="Joe"/>
    <n v="25"/>
    <s v="Red's Meadow Resort"/>
    <s v="1 Breakfast"/>
    <x v="15"/>
    <x v="5"/>
    <x v="0"/>
    <x v="3"/>
  </r>
  <r>
    <s v="Joe"/>
    <n v="25"/>
    <s v="Red's Meadow Resort"/>
    <s v="2 Morning Snack"/>
    <x v="26"/>
    <x v="11"/>
    <x v="0"/>
    <x v="10"/>
  </r>
  <r>
    <s v="Joe"/>
    <n v="25"/>
    <s v="Red's Meadow Resort"/>
    <s v="3 Lunch"/>
    <x v="6"/>
    <x v="4"/>
    <x v="4"/>
    <x v="2"/>
  </r>
  <r>
    <s v="Joe"/>
    <n v="25"/>
    <s v="Red's Meadow Resort"/>
    <s v="4 Afternoon Snack"/>
    <x v="16"/>
    <x v="1"/>
    <x v="1"/>
    <x v="1"/>
  </r>
  <r>
    <s v="Joe"/>
    <n v="25"/>
    <s v="Red's Meadow Resort"/>
    <s v="5 Dinner"/>
    <x v="21"/>
    <x v="5"/>
    <x v="0"/>
    <x v="3"/>
  </r>
  <r>
    <s v="Joe"/>
    <n v="25"/>
    <s v="Red's Meadow Resort"/>
    <s v="6 Recovery"/>
    <x v="8"/>
    <x v="6"/>
    <x v="5"/>
    <x v="4"/>
  </r>
  <r>
    <s v="Joe"/>
    <n v="25"/>
    <s v="Red's Meadow Resort"/>
    <s v="7 Dessert"/>
    <x v="25"/>
    <x v="12"/>
    <x v="0"/>
    <x v="11"/>
  </r>
  <r>
    <s v="Joe"/>
    <n v="26"/>
    <s v="Red's Meadow Resort"/>
    <s v="1 Breakfast"/>
    <x v="23"/>
    <x v="10"/>
    <x v="5"/>
    <x v="7"/>
  </r>
  <r>
    <s v="Joe"/>
    <n v="26"/>
    <s v="Red's Meadow Resort"/>
    <s v="2 Morning Snack"/>
    <x v="37"/>
    <x v="16"/>
    <x v="0"/>
    <x v="4"/>
  </r>
  <r>
    <s v="Joe"/>
    <n v="26"/>
    <s v="Red's Meadow Resort"/>
    <s v="3 Lunch"/>
    <x v="6"/>
    <x v="4"/>
    <x v="4"/>
    <x v="2"/>
  </r>
  <r>
    <s v="Joe"/>
    <n v="26"/>
    <s v="Red's Meadow Resort"/>
    <s v="4 Afternoon Snack"/>
    <x v="5"/>
    <x v="1"/>
    <x v="1"/>
    <x v="1"/>
  </r>
  <r>
    <s v="Joe"/>
    <n v="26"/>
    <s v="Red's Meadow Resort"/>
    <s v="5 Dinner"/>
    <x v="41"/>
    <x v="5"/>
    <x v="0"/>
    <x v="5"/>
  </r>
  <r>
    <s v="Joe"/>
    <n v="26"/>
    <s v="Red's Meadow Resort"/>
    <s v="6 Recovery"/>
    <x v="8"/>
    <x v="6"/>
    <x v="5"/>
    <x v="4"/>
  </r>
  <r>
    <s v="Joe"/>
    <n v="26"/>
    <s v="Red's Meadow Resort"/>
    <s v="7 Dessert"/>
    <x v="9"/>
    <x v="5"/>
    <x v="0"/>
    <x v="5"/>
  </r>
  <r>
    <s v="Joe"/>
    <n v="27"/>
    <s v="Red's Meadow Resort"/>
    <s v="1 Breakfast"/>
    <x v="4"/>
    <x v="3"/>
    <x v="3"/>
    <x v="1"/>
  </r>
  <r>
    <s v="Joe"/>
    <n v="27"/>
    <s v="Red's Meadow Resort"/>
    <s v="2 Morning Snack"/>
    <x v="12"/>
    <x v="9"/>
    <x v="0"/>
    <x v="8"/>
  </r>
  <r>
    <s v="Joe"/>
    <n v="27"/>
    <s v="Red's Meadow Resort"/>
    <s v="3 Lunch"/>
    <x v="6"/>
    <x v="4"/>
    <x v="4"/>
    <x v="2"/>
  </r>
  <r>
    <s v="Joe"/>
    <n v="27"/>
    <s v="Red's Meadow Resort"/>
    <s v="4 Afternoon Snack"/>
    <x v="39"/>
    <x v="8"/>
    <x v="5"/>
    <x v="7"/>
  </r>
  <r>
    <s v="Joe"/>
    <n v="27"/>
    <s v="Red's Meadow Resort"/>
    <s v="5 Dinner"/>
    <x v="13"/>
    <x v="1"/>
    <x v="1"/>
    <x v="1"/>
  </r>
  <r>
    <s v="Joe"/>
    <n v="27"/>
    <s v="Red's Meadow Resort"/>
    <s v="6 Recovery"/>
    <x v="8"/>
    <x v="6"/>
    <x v="5"/>
    <x v="4"/>
  </r>
  <r>
    <s v="Joe"/>
    <n v="27"/>
    <s v="Red's Meadow Resort"/>
    <s v="7 Dessert"/>
    <x v="25"/>
    <x v="12"/>
    <x v="0"/>
    <x v="11"/>
  </r>
  <r>
    <s v="Joe"/>
    <n v="28"/>
    <s v="Red's Meadow Resort"/>
    <s v="1 Breakfast"/>
    <x v="23"/>
    <x v="10"/>
    <x v="5"/>
    <x v="7"/>
  </r>
  <r>
    <s v="Joe"/>
    <n v="28"/>
    <s v="Red's Meadow Resort"/>
    <s v="2 Morning Snack"/>
    <x v="2"/>
    <x v="2"/>
    <x v="2"/>
    <x v="1"/>
  </r>
  <r>
    <s v="Joe"/>
    <n v="28"/>
    <s v="Red's Meadow Resort"/>
    <s v="3 Lunch"/>
    <x v="6"/>
    <x v="4"/>
    <x v="4"/>
    <x v="2"/>
  </r>
  <r>
    <s v="Joe"/>
    <n v="28"/>
    <s v="Red's Meadow Resort"/>
    <s v="4 Afternoon Snack"/>
    <x v="5"/>
    <x v="1"/>
    <x v="1"/>
    <x v="1"/>
  </r>
  <r>
    <s v="Joe"/>
    <n v="28"/>
    <s v="Red's Meadow Resort"/>
    <s v="5 Dinner"/>
    <x v="44"/>
    <x v="1"/>
    <x v="1"/>
    <x v="1"/>
  </r>
  <r>
    <s v="Joe"/>
    <n v="28"/>
    <s v="Red's Meadow Resort"/>
    <s v="6 Recovery"/>
    <x v="8"/>
    <x v="6"/>
    <x v="5"/>
    <x v="4"/>
  </r>
  <r>
    <s v="Joe"/>
    <n v="28"/>
    <s v="Red's Meadow Resort"/>
    <s v="7 Dessert"/>
    <x v="25"/>
    <x v="12"/>
    <x v="0"/>
    <x v="11"/>
  </r>
  <r>
    <s v="Joe"/>
    <n v="29"/>
    <s v="Red's Meadow Resort"/>
    <s v="1 Breakfast"/>
    <x v="4"/>
    <x v="3"/>
    <x v="3"/>
    <x v="1"/>
  </r>
  <r>
    <s v="Joe"/>
    <n v="29"/>
    <s v="Red's Meadow Resort"/>
    <s v="2 Morning Snack"/>
    <x v="16"/>
    <x v="1"/>
    <x v="1"/>
    <x v="1"/>
  </r>
  <r>
    <s v="Joe"/>
    <n v="29"/>
    <s v="Red's Meadow Resort"/>
    <s v="3 Lunch"/>
    <x v="6"/>
    <x v="4"/>
    <x v="4"/>
    <x v="2"/>
  </r>
  <r>
    <s v="Joe"/>
    <n v="29"/>
    <s v="Red's Meadow Resort"/>
    <s v="4 Afternoon Snack"/>
    <x v="23"/>
    <x v="10"/>
    <x v="5"/>
    <x v="7"/>
  </r>
  <r>
    <s v="Joe"/>
    <n v="29"/>
    <s v="Red's Meadow Resort"/>
    <s v="5 Dinner"/>
    <x v="32"/>
    <x v="3"/>
    <x v="3"/>
    <x v="1"/>
  </r>
  <r>
    <s v="Joe"/>
    <n v="29"/>
    <s v="Red's Meadow Resort"/>
    <s v="6 Recovery"/>
    <x v="8"/>
    <x v="6"/>
    <x v="5"/>
    <x v="4"/>
  </r>
  <r>
    <s v="Joe"/>
    <n v="29"/>
    <s v="Red's Meadow Resort"/>
    <s v="7 Dessert"/>
    <x v="25"/>
    <x v="12"/>
    <x v="0"/>
    <x v="1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
  <r>
    <x v="0"/>
    <x v="0"/>
    <x v="0"/>
  </r>
  <r>
    <x v="0"/>
    <x v="1"/>
    <x v="1"/>
  </r>
  <r>
    <x v="0"/>
    <x v="2"/>
    <x v="2"/>
  </r>
  <r>
    <x v="1"/>
    <x v="0"/>
    <x v="0"/>
  </r>
  <r>
    <x v="1"/>
    <x v="1"/>
    <x v="3"/>
  </r>
  <r>
    <x v="1"/>
    <x v="2"/>
    <x v="2"/>
  </r>
  <r>
    <x v="2"/>
    <x v="0"/>
    <x v="0"/>
  </r>
  <r>
    <x v="2"/>
    <x v="1"/>
    <x v="4"/>
  </r>
  <r>
    <x v="2"/>
    <x v="2"/>
    <x v="5"/>
  </r>
  <r>
    <x v="2"/>
    <x v="3"/>
    <x v="6"/>
  </r>
  <r>
    <x v="2"/>
    <x v="4"/>
    <x v="7"/>
  </r>
  <r>
    <x v="3"/>
    <x v="0"/>
    <x v="8"/>
  </r>
  <r>
    <x v="3"/>
    <x v="1"/>
    <x v="9"/>
  </r>
  <r>
    <x v="3"/>
    <x v="2"/>
    <x v="10"/>
  </r>
  <r>
    <x v="3"/>
    <x v="3"/>
    <x v="11"/>
  </r>
  <r>
    <x v="4"/>
    <x v="0"/>
    <x v="0"/>
  </r>
  <r>
    <x v="4"/>
    <x v="1"/>
    <x v="12"/>
  </r>
  <r>
    <x v="4"/>
    <x v="2"/>
    <x v="13"/>
  </r>
  <r>
    <x v="4"/>
    <x v="3"/>
    <x v="6"/>
  </r>
  <r>
    <x v="5"/>
    <x v="0"/>
    <x v="0"/>
  </r>
  <r>
    <x v="5"/>
    <x v="1"/>
    <x v="14"/>
  </r>
  <r>
    <x v="5"/>
    <x v="2"/>
    <x v="15"/>
  </r>
  <r>
    <x v="5"/>
    <x v="3"/>
    <x v="16"/>
  </r>
  <r>
    <x v="6"/>
    <x v="0"/>
    <x v="0"/>
  </r>
  <r>
    <x v="6"/>
    <x v="1"/>
    <x v="17"/>
  </r>
  <r>
    <x v="6"/>
    <x v="2"/>
    <x v="15"/>
  </r>
  <r>
    <x v="6"/>
    <x v="3"/>
    <x v="16"/>
  </r>
  <r>
    <x v="7"/>
    <x v="0"/>
    <x v="0"/>
  </r>
  <r>
    <x v="7"/>
    <x v="1"/>
    <x v="17"/>
  </r>
  <r>
    <x v="7"/>
    <x v="2"/>
    <x v="13"/>
  </r>
  <r>
    <x v="7"/>
    <x v="3"/>
    <x v="6"/>
  </r>
  <r>
    <x v="8"/>
    <x v="0"/>
    <x v="0"/>
  </r>
  <r>
    <x v="8"/>
    <x v="1"/>
    <x v="18"/>
  </r>
  <r>
    <x v="8"/>
    <x v="2"/>
    <x v="13"/>
  </r>
  <r>
    <x v="8"/>
    <x v="3"/>
    <x v="6"/>
  </r>
  <r>
    <x v="9"/>
    <x v="0"/>
    <x v="0"/>
  </r>
  <r>
    <x v="9"/>
    <x v="1"/>
    <x v="19"/>
  </r>
  <r>
    <x v="9"/>
    <x v="2"/>
    <x v="17"/>
  </r>
  <r>
    <x v="9"/>
    <x v="3"/>
    <x v="20"/>
  </r>
  <r>
    <x v="9"/>
    <x v="4"/>
    <x v="16"/>
  </r>
  <r>
    <x v="10"/>
    <x v="0"/>
    <x v="0"/>
  </r>
  <r>
    <x v="10"/>
    <x v="1"/>
    <x v="17"/>
  </r>
  <r>
    <x v="10"/>
    <x v="2"/>
    <x v="21"/>
  </r>
  <r>
    <x v="10"/>
    <x v="3"/>
    <x v="16"/>
  </r>
  <r>
    <x v="11"/>
    <x v="0"/>
    <x v="0"/>
  </r>
  <r>
    <x v="11"/>
    <x v="1"/>
    <x v="17"/>
  </r>
  <r>
    <x v="11"/>
    <x v="2"/>
    <x v="22"/>
  </r>
  <r>
    <x v="11"/>
    <x v="3"/>
    <x v="16"/>
  </r>
  <r>
    <x v="12"/>
    <x v="0"/>
    <x v="23"/>
  </r>
  <r>
    <x v="12"/>
    <x v="1"/>
    <x v="24"/>
  </r>
  <r>
    <x v="12"/>
    <x v="2"/>
    <x v="17"/>
  </r>
  <r>
    <x v="12"/>
    <x v="3"/>
    <x v="21"/>
  </r>
  <r>
    <x v="12"/>
    <x v="4"/>
    <x v="25"/>
  </r>
  <r>
    <x v="13"/>
    <x v="0"/>
    <x v="0"/>
  </r>
  <r>
    <x v="13"/>
    <x v="1"/>
    <x v="26"/>
  </r>
  <r>
    <x v="13"/>
    <x v="2"/>
    <x v="27"/>
  </r>
  <r>
    <x v="13"/>
    <x v="3"/>
    <x v="16"/>
  </r>
  <r>
    <x v="14"/>
    <x v="0"/>
    <x v="0"/>
  </r>
  <r>
    <x v="14"/>
    <x v="1"/>
    <x v="17"/>
  </r>
  <r>
    <x v="14"/>
    <x v="2"/>
    <x v="15"/>
  </r>
  <r>
    <x v="14"/>
    <x v="3"/>
    <x v="16"/>
  </r>
  <r>
    <x v="15"/>
    <x v="0"/>
    <x v="0"/>
  </r>
  <r>
    <x v="15"/>
    <x v="1"/>
    <x v="28"/>
  </r>
  <r>
    <x v="15"/>
    <x v="2"/>
    <x v="29"/>
  </r>
  <r>
    <x v="15"/>
    <x v="3"/>
    <x v="16"/>
  </r>
  <r>
    <x v="16"/>
    <x v="0"/>
    <x v="0"/>
  </r>
  <r>
    <x v="16"/>
    <x v="1"/>
    <x v="17"/>
  </r>
  <r>
    <x v="16"/>
    <x v="2"/>
    <x v="15"/>
  </r>
  <r>
    <x v="16"/>
    <x v="3"/>
    <x v="16"/>
  </r>
  <r>
    <x v="17"/>
    <x v="0"/>
    <x v="0"/>
  </r>
  <r>
    <x v="17"/>
    <x v="1"/>
    <x v="28"/>
  </r>
  <r>
    <x v="17"/>
    <x v="2"/>
    <x v="30"/>
  </r>
  <r>
    <x v="17"/>
    <x v="3"/>
    <x v="16"/>
  </r>
  <r>
    <x v="18"/>
    <x v="0"/>
    <x v="31"/>
  </r>
  <r>
    <x v="18"/>
    <x v="1"/>
    <x v="32"/>
  </r>
  <r>
    <x v="18"/>
    <x v="2"/>
    <x v="33"/>
  </r>
  <r>
    <x v="18"/>
    <x v="3"/>
    <x v="34"/>
  </r>
  <r>
    <x v="19"/>
    <x v="0"/>
    <x v="35"/>
  </r>
  <r>
    <x v="19"/>
    <x v="1"/>
    <x v="36"/>
  </r>
  <r>
    <x v="19"/>
    <x v="2"/>
    <x v="37"/>
  </r>
  <r>
    <x v="19"/>
    <x v="3"/>
    <x v="38"/>
  </r>
  <r>
    <x v="20"/>
    <x v="0"/>
    <x v="39"/>
  </r>
  <r>
    <x v="20"/>
    <x v="1"/>
    <x v="40"/>
  </r>
  <r>
    <x v="20"/>
    <x v="2"/>
    <x v="37"/>
  </r>
  <r>
    <x v="20"/>
    <x v="3"/>
    <x v="41"/>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3">
  <r>
    <x v="0"/>
    <s v="x"/>
    <m/>
    <x v="0"/>
    <x v="0"/>
    <s v="ALL"/>
    <x v="0"/>
    <x v="0"/>
    <s v="All-Season"/>
    <m/>
    <x v="0"/>
    <x v="0"/>
    <n v="4"/>
    <n v="12"/>
    <x v="0"/>
    <n v="76"/>
  </r>
  <r>
    <x v="1"/>
    <s v="x"/>
    <m/>
    <x v="0"/>
    <x v="0"/>
    <s v="ALL"/>
    <x v="1"/>
    <x v="1"/>
    <s v="All-Season"/>
    <m/>
    <x v="1"/>
    <x v="1"/>
    <n v="0"/>
    <n v="7.25"/>
    <x v="0"/>
    <n v="7.25"/>
  </r>
  <r>
    <x v="2"/>
    <s v="x"/>
    <m/>
    <x v="0"/>
    <x v="0"/>
    <s v="ALL"/>
    <x v="1"/>
    <x v="1"/>
    <s v="All-Season"/>
    <s v="Blue Dry Sack (2L)"/>
    <x v="2"/>
    <x v="2"/>
    <n v="0"/>
    <n v="6.375"/>
    <x v="0"/>
    <n v="6.375"/>
  </r>
  <r>
    <x v="3"/>
    <s v="x"/>
    <m/>
    <x v="0"/>
    <x v="0"/>
    <s v="ALL"/>
    <x v="1"/>
    <x v="1"/>
    <s v="All-Season"/>
    <s v="Green Dry Sack (4L)"/>
    <x v="2"/>
    <x v="3"/>
    <n v="0"/>
    <n v="5.375"/>
    <x v="0"/>
    <n v="5.375"/>
  </r>
  <r>
    <x v="4"/>
    <s v="x"/>
    <m/>
    <x v="0"/>
    <x v="0"/>
    <s v="ALL"/>
    <x v="1"/>
    <x v="1"/>
    <s v="Summer"/>
    <s v="Green Dry Sack (4L)"/>
    <x v="2"/>
    <x v="4"/>
    <n v="0"/>
    <n v="8.75"/>
    <x v="0"/>
    <n v="8.75"/>
  </r>
  <r>
    <x v="5"/>
    <s v="x"/>
    <m/>
    <x v="0"/>
    <x v="0"/>
    <s v="ALL"/>
    <x v="1"/>
    <x v="1"/>
    <s v="All-Season"/>
    <s v="Green Dry Sack (4L)"/>
    <x v="2"/>
    <x v="5"/>
    <n v="0"/>
    <n v="2.875"/>
    <x v="0"/>
    <n v="2.875"/>
  </r>
  <r>
    <x v="6"/>
    <s v="x"/>
    <m/>
    <x v="0"/>
    <x v="0"/>
    <s v="ALL"/>
    <x v="1"/>
    <x v="1"/>
    <s v="All-Season"/>
    <s v="Green Dry Sack (4L)"/>
    <x v="2"/>
    <x v="6"/>
    <n v="0"/>
    <n v="2.375"/>
    <x v="0"/>
    <n v="2.375"/>
  </r>
  <r>
    <x v="7"/>
    <s v="x"/>
    <m/>
    <x v="0"/>
    <x v="0"/>
    <s v="ALL"/>
    <x v="1"/>
    <x v="1"/>
    <s v="All-Season"/>
    <s v="Green Dry Sack (4L)"/>
    <x v="2"/>
    <x v="7"/>
    <n v="0"/>
    <n v="1.125"/>
    <x v="0"/>
    <n v="1.125"/>
  </r>
  <r>
    <x v="8"/>
    <s v="x"/>
    <m/>
    <x v="0"/>
    <x v="0"/>
    <s v="ALL"/>
    <x v="1"/>
    <x v="1"/>
    <s v="All-Season"/>
    <s v="Green Dry Sack (4L)"/>
    <x v="2"/>
    <x v="8"/>
    <n v="0"/>
    <n v="1.875"/>
    <x v="0"/>
    <n v="1.875"/>
  </r>
  <r>
    <x v="9"/>
    <s v="x"/>
    <m/>
    <x v="0"/>
    <x v="0"/>
    <s v="ALL"/>
    <x v="1"/>
    <x v="2"/>
    <s v="Summer"/>
    <s v="Orange Mesh Stuff Sack"/>
    <x v="3"/>
    <x v="9"/>
    <n v="0"/>
    <n v="3.875"/>
    <x v="0"/>
    <n v="3.875"/>
  </r>
  <r>
    <x v="10"/>
    <s v="x"/>
    <m/>
    <x v="0"/>
    <x v="0"/>
    <s v="PCT / JMT"/>
    <x v="1"/>
    <x v="2"/>
    <s v="Summer"/>
    <s v="Orange Mesh Stuff Sack"/>
    <x v="3"/>
    <x v="10"/>
    <n v="0"/>
    <n v="4.5"/>
    <x v="0"/>
    <n v="4.5"/>
  </r>
  <r>
    <x v="11"/>
    <s v="x"/>
    <m/>
    <x v="0"/>
    <x v="0"/>
    <s v="ALL"/>
    <x v="1"/>
    <x v="2"/>
    <s v="All-Season"/>
    <s v="Orange Mesh Stuff Sack"/>
    <x v="3"/>
    <x v="11"/>
    <n v="0"/>
    <n v="3"/>
    <x v="0"/>
    <n v="3"/>
  </r>
  <r>
    <x v="12"/>
    <s v="x"/>
    <m/>
    <x v="0"/>
    <x v="0"/>
    <s v="ALL"/>
    <x v="1"/>
    <x v="2"/>
    <s v="All-Season"/>
    <s v="Orange Mesh Stuff Sack"/>
    <x v="3"/>
    <x v="12"/>
    <n v="0"/>
    <n v="1.125"/>
    <x v="0"/>
    <n v="1.125"/>
  </r>
  <r>
    <x v="13"/>
    <s v="x"/>
    <m/>
    <x v="0"/>
    <x v="0"/>
    <s v="PCT / JMT"/>
    <x v="1"/>
    <x v="3"/>
    <s v="Summer"/>
    <m/>
    <x v="3"/>
    <x v="13"/>
    <n v="0"/>
    <n v="5.75"/>
    <x v="0"/>
    <n v="5.75"/>
  </r>
  <r>
    <x v="14"/>
    <s v="x"/>
    <m/>
    <x v="0"/>
    <x v="0"/>
    <s v="ALL"/>
    <x v="1"/>
    <x v="3"/>
    <s v="All-Season"/>
    <s v="Green Dry Sack (4L)"/>
    <x v="2"/>
    <x v="14"/>
    <n v="0"/>
    <n v="1.125"/>
    <x v="0"/>
    <n v="1.125"/>
  </r>
  <r>
    <x v="15"/>
    <s v="x"/>
    <m/>
    <x v="0"/>
    <x v="0"/>
    <s v="PCT / JMT"/>
    <x v="2"/>
    <x v="2"/>
    <s v="All-Season"/>
    <m/>
    <x v="4"/>
    <x v="15"/>
    <n v="0"/>
    <n v="1.375"/>
    <x v="0"/>
    <n v="1.375"/>
  </r>
  <r>
    <x v="16"/>
    <m/>
    <m/>
    <x v="0"/>
    <x v="0"/>
    <s v="PCT / JMT"/>
    <x v="2"/>
    <x v="2"/>
    <s v="All-Season"/>
    <m/>
    <x v="5"/>
    <x v="16"/>
    <n v="0"/>
    <n v="8.125"/>
    <x v="0"/>
    <n v="8.125"/>
  </r>
  <r>
    <x v="17"/>
    <m/>
    <m/>
    <x v="0"/>
    <x v="0"/>
    <s v="ALL"/>
    <x v="2"/>
    <x v="2"/>
    <s v="Summer"/>
    <m/>
    <x v="5"/>
    <x v="17"/>
    <n v="0"/>
    <n v="10.5"/>
    <x v="0"/>
    <n v="10.5"/>
  </r>
  <r>
    <x v="18"/>
    <m/>
    <m/>
    <x v="0"/>
    <x v="0"/>
    <s v="ALL"/>
    <x v="2"/>
    <x v="2"/>
    <s v="All-Season"/>
    <m/>
    <x v="5"/>
    <x v="18"/>
    <n v="0"/>
    <n v="2.75"/>
    <x v="0"/>
    <n v="2.75"/>
  </r>
  <r>
    <x v="19"/>
    <m/>
    <m/>
    <x v="0"/>
    <x v="0"/>
    <s v="ALL"/>
    <x v="2"/>
    <x v="2"/>
    <s v="All-Season"/>
    <m/>
    <x v="5"/>
    <x v="19"/>
    <n v="0"/>
    <n v="2.375"/>
    <x v="0"/>
    <n v="2.375"/>
  </r>
  <r>
    <x v="20"/>
    <s v="x"/>
    <m/>
    <x v="0"/>
    <x v="0"/>
    <s v="ALL"/>
    <x v="2"/>
    <x v="2"/>
    <s v="Summer"/>
    <m/>
    <x v="5"/>
    <x v="20"/>
    <n v="0"/>
    <n v="2.625"/>
    <x v="0"/>
    <n v="2.625"/>
  </r>
  <r>
    <x v="21"/>
    <s v="x"/>
    <m/>
    <x v="0"/>
    <x v="0"/>
    <s v="ALL"/>
    <x v="2"/>
    <x v="2"/>
    <s v="All-Season"/>
    <m/>
    <x v="5"/>
    <x v="21"/>
    <n v="0"/>
    <n v="1.125"/>
    <x v="0"/>
    <n v="1.125"/>
  </r>
  <r>
    <x v="22"/>
    <m/>
    <m/>
    <x v="0"/>
    <x v="0"/>
    <s v="ALL"/>
    <x v="2"/>
    <x v="2"/>
    <s v="All-Season"/>
    <m/>
    <x v="5"/>
    <x v="22"/>
    <n v="0"/>
    <n v="2.25"/>
    <x v="0"/>
    <n v="2.25"/>
  </r>
  <r>
    <x v="23"/>
    <s v="x"/>
    <m/>
    <x v="0"/>
    <x v="0"/>
    <s v="PCT / JMT"/>
    <x v="2"/>
    <x v="3"/>
    <s v="Summer"/>
    <m/>
    <x v="5"/>
    <x v="23"/>
    <n v="0"/>
    <n v="0.75"/>
    <x v="0"/>
    <n v="0.75"/>
  </r>
  <r>
    <x v="24"/>
    <s v="x"/>
    <m/>
    <x v="0"/>
    <x v="0"/>
    <s v="PCT / JMT"/>
    <x v="2"/>
    <x v="3"/>
    <s v="Summer"/>
    <m/>
    <x v="5"/>
    <x v="24"/>
    <n v="0"/>
    <n v="2.625"/>
    <x v="0"/>
    <n v="2.625"/>
  </r>
  <r>
    <x v="25"/>
    <m/>
    <m/>
    <x v="0"/>
    <x v="0"/>
    <s v="ALL"/>
    <x v="3"/>
    <x v="0"/>
    <m/>
    <m/>
    <x v="6"/>
    <x v="25"/>
    <n v="0"/>
    <n v="6.125"/>
    <x v="0"/>
    <n v="6.125"/>
  </r>
  <r>
    <x v="26"/>
    <s v="x"/>
    <m/>
    <x v="0"/>
    <x v="0"/>
    <s v="PCT / JMT"/>
    <x v="3"/>
    <x v="0"/>
    <m/>
    <s v="Pink Dry Sack (4L)"/>
    <x v="3"/>
    <x v="26"/>
    <n v="0"/>
    <n v="1"/>
    <x v="0"/>
    <n v="1"/>
  </r>
  <r>
    <x v="27"/>
    <s v="x"/>
    <m/>
    <x v="0"/>
    <x v="0"/>
    <s v="ALL"/>
    <x v="3"/>
    <x v="0"/>
    <m/>
    <s v="Loksak 1"/>
    <x v="4"/>
    <x v="27"/>
    <n v="0"/>
    <n v="5.75"/>
    <x v="0"/>
    <n v="5.75"/>
  </r>
  <r>
    <x v="28"/>
    <s v="x"/>
    <m/>
    <x v="0"/>
    <x v="0"/>
    <s v="PCT / JMT"/>
    <x v="3"/>
    <x v="0"/>
    <m/>
    <s v="Loksak 1"/>
    <x v="4"/>
    <x v="28"/>
    <n v="0"/>
    <n v="6"/>
    <x v="0"/>
    <n v="6"/>
  </r>
  <r>
    <x v="29"/>
    <s v="x"/>
    <m/>
    <x v="0"/>
    <x v="0"/>
    <s v="PCT / JMT"/>
    <x v="3"/>
    <x v="0"/>
    <m/>
    <s v="Loksak 2"/>
    <x v="4"/>
    <x v="29"/>
    <n v="0"/>
    <n v="9.125"/>
    <x v="0"/>
    <n v="9.125"/>
  </r>
  <r>
    <x v="30"/>
    <s v="x"/>
    <m/>
    <x v="0"/>
    <x v="0"/>
    <s v="PCT / JMT"/>
    <x v="3"/>
    <x v="0"/>
    <m/>
    <m/>
    <x v="4"/>
    <x v="30"/>
    <n v="0"/>
    <n v="5"/>
    <x v="0"/>
    <n v="5"/>
  </r>
  <r>
    <x v="31"/>
    <m/>
    <m/>
    <x v="0"/>
    <x v="0"/>
    <s v="ALL"/>
    <x v="4"/>
    <x v="3"/>
    <m/>
    <m/>
    <x v="5"/>
    <x v="31"/>
    <n v="2"/>
    <n v="9"/>
    <x v="0"/>
    <n v="41"/>
  </r>
  <r>
    <x v="32"/>
    <s v="x"/>
    <m/>
    <x v="0"/>
    <x v="0"/>
    <s v="ALL"/>
    <x v="4"/>
    <x v="3"/>
    <m/>
    <m/>
    <x v="5"/>
    <x v="32"/>
    <n v="1"/>
    <n v="2"/>
    <x v="0"/>
    <n v="18"/>
  </r>
  <r>
    <x v="33"/>
    <s v="x"/>
    <m/>
    <x v="0"/>
    <x v="0"/>
    <s v="ALL"/>
    <x v="5"/>
    <x v="0"/>
    <m/>
    <m/>
    <x v="7"/>
    <x v="33"/>
    <n v="0"/>
    <n v="2.75"/>
    <x v="0"/>
    <n v="2.75"/>
  </r>
  <r>
    <x v="34"/>
    <s v="x"/>
    <m/>
    <x v="0"/>
    <x v="0"/>
    <s v="JMT"/>
    <x v="5"/>
    <x v="0"/>
    <m/>
    <s v="Loksak 3"/>
    <x v="4"/>
    <x v="34"/>
    <n v="0"/>
    <n v="0.125"/>
    <x v="0"/>
    <n v="0.125"/>
  </r>
  <r>
    <x v="35"/>
    <s v="x"/>
    <m/>
    <x v="0"/>
    <x v="0"/>
    <s v="ALL"/>
    <x v="5"/>
    <x v="0"/>
    <m/>
    <s v="Loksak 3"/>
    <x v="4"/>
    <x v="35"/>
    <n v="0"/>
    <n v="1.875"/>
    <x v="0"/>
    <n v="1.875"/>
  </r>
  <r>
    <x v="36"/>
    <s v="x"/>
    <m/>
    <x v="0"/>
    <x v="0"/>
    <s v="JMT"/>
    <x v="5"/>
    <x v="0"/>
    <m/>
    <s v="Loksak 3"/>
    <x v="4"/>
    <x v="36"/>
    <n v="0"/>
    <n v="1.375"/>
    <x v="0"/>
    <n v="1.375"/>
  </r>
  <r>
    <x v="37"/>
    <s v="x"/>
    <m/>
    <x v="0"/>
    <x v="0"/>
    <s v="ALL"/>
    <x v="5"/>
    <x v="0"/>
    <m/>
    <s v="Loksak 3"/>
    <x v="4"/>
    <x v="37"/>
    <n v="0"/>
    <n v="0.5"/>
    <x v="0"/>
    <n v="0.5"/>
  </r>
  <r>
    <x v="38"/>
    <s v="x"/>
    <m/>
    <x v="0"/>
    <x v="0"/>
    <s v="JMT"/>
    <x v="5"/>
    <x v="0"/>
    <m/>
    <s v="Loksak 3"/>
    <x v="4"/>
    <x v="38"/>
    <n v="0"/>
    <n v="1"/>
    <x v="0"/>
    <n v="1"/>
  </r>
  <r>
    <x v="39"/>
    <m/>
    <m/>
    <x v="0"/>
    <x v="0"/>
    <s v="ALL"/>
    <x v="6"/>
    <x v="0"/>
    <m/>
    <m/>
    <x v="1"/>
    <x v="39"/>
    <n v="2"/>
    <n v="3.2800000000000002"/>
    <x v="1"/>
    <n v="70.56"/>
  </r>
  <r>
    <x v="40"/>
    <s v="x"/>
    <m/>
    <x v="0"/>
    <x v="0"/>
    <s v="ALL"/>
    <x v="6"/>
    <x v="0"/>
    <m/>
    <m/>
    <x v="3"/>
    <x v="40"/>
    <n v="13"/>
    <n v="0"/>
    <x v="0"/>
    <n v="208"/>
  </r>
  <r>
    <x v="41"/>
    <m/>
    <m/>
    <x v="0"/>
    <x v="0"/>
    <s v="ALL"/>
    <x v="6"/>
    <x v="0"/>
    <m/>
    <m/>
    <x v="3"/>
    <x v="41"/>
    <n v="0"/>
    <n v="13.375"/>
    <x v="0"/>
    <n v="13.375"/>
  </r>
  <r>
    <x v="42"/>
    <s v="x"/>
    <m/>
    <x v="0"/>
    <x v="0"/>
    <s v="ALL"/>
    <x v="7"/>
    <x v="3"/>
    <m/>
    <m/>
    <x v="4"/>
    <x v="42"/>
    <n v="0"/>
    <n v="0.875"/>
    <x v="0"/>
    <n v="0.875"/>
  </r>
  <r>
    <x v="43"/>
    <s v="x"/>
    <m/>
    <x v="0"/>
    <x v="0"/>
    <s v="ALL"/>
    <x v="7"/>
    <x v="0"/>
    <m/>
    <m/>
    <x v="1"/>
    <x v="43"/>
    <n v="0"/>
    <n v="4.625"/>
    <x v="0"/>
    <n v="4.625"/>
  </r>
  <r>
    <x v="44"/>
    <s v="x"/>
    <m/>
    <x v="0"/>
    <x v="0"/>
    <s v="ALL"/>
    <x v="7"/>
    <x v="0"/>
    <m/>
    <m/>
    <x v="1"/>
    <x v="44"/>
    <n v="0"/>
    <n v="1.125"/>
    <x v="0"/>
    <n v="1.125"/>
  </r>
  <r>
    <x v="45"/>
    <s v="x"/>
    <m/>
    <x v="0"/>
    <x v="0"/>
    <s v="ALL"/>
    <x v="7"/>
    <x v="0"/>
    <m/>
    <m/>
    <x v="1"/>
    <x v="44"/>
    <n v="0"/>
    <n v="1.125"/>
    <x v="0"/>
    <n v="1.125"/>
  </r>
  <r>
    <x v="46"/>
    <s v="x"/>
    <m/>
    <x v="0"/>
    <x v="0"/>
    <s v="JMT"/>
    <x v="7"/>
    <x v="0"/>
    <m/>
    <m/>
    <x v="1"/>
    <x v="45"/>
    <n v="0"/>
    <n v="0.5"/>
    <x v="0"/>
    <n v="0.5"/>
  </r>
  <r>
    <x v="47"/>
    <s v="x"/>
    <m/>
    <x v="0"/>
    <x v="0"/>
    <s v="ALL"/>
    <x v="7"/>
    <x v="0"/>
    <m/>
    <m/>
    <x v="1"/>
    <x v="46"/>
    <n v="0"/>
    <n v="0.5"/>
    <x v="0"/>
    <n v="0.5"/>
  </r>
  <r>
    <x v="48"/>
    <s v="x"/>
    <m/>
    <x v="0"/>
    <x v="0"/>
    <s v="ALL"/>
    <x v="7"/>
    <x v="0"/>
    <m/>
    <m/>
    <x v="7"/>
    <x v="47"/>
    <n v="0"/>
    <n v="2"/>
    <x v="0"/>
    <n v="2"/>
  </r>
  <r>
    <x v="49"/>
    <s v="x"/>
    <m/>
    <x v="0"/>
    <x v="0"/>
    <s v="JMT"/>
    <x v="7"/>
    <x v="0"/>
    <m/>
    <m/>
    <x v="3"/>
    <x v="48"/>
    <n v="2"/>
    <n v="1"/>
    <x v="0"/>
    <n v="33"/>
  </r>
  <r>
    <x v="50"/>
    <s v="x"/>
    <m/>
    <x v="0"/>
    <x v="0"/>
    <s v="ALL"/>
    <x v="7"/>
    <x v="0"/>
    <m/>
    <m/>
    <x v="3"/>
    <x v="49"/>
    <n v="0"/>
    <n v="2.875"/>
    <x v="0"/>
    <n v="2.875"/>
  </r>
  <r>
    <x v="51"/>
    <s v="x"/>
    <m/>
    <x v="0"/>
    <x v="0"/>
    <s v="ALL"/>
    <x v="7"/>
    <x v="0"/>
    <m/>
    <m/>
    <x v="3"/>
    <x v="50"/>
    <n v="0"/>
    <n v="0.75"/>
    <x v="0"/>
    <n v="0.75"/>
  </r>
  <r>
    <x v="52"/>
    <s v="x"/>
    <m/>
    <x v="0"/>
    <x v="0"/>
    <s v="ALL"/>
    <x v="7"/>
    <x v="0"/>
    <m/>
    <m/>
    <x v="3"/>
    <x v="51"/>
    <n v="0"/>
    <n v="0.75"/>
    <x v="0"/>
    <n v="0.75"/>
  </r>
  <r>
    <x v="53"/>
    <s v="x"/>
    <m/>
    <x v="0"/>
    <x v="0"/>
    <s v="ALL"/>
    <x v="7"/>
    <x v="0"/>
    <m/>
    <m/>
    <x v="3"/>
    <x v="52"/>
    <n v="0"/>
    <n v="0.875"/>
    <x v="0"/>
    <n v="0.875"/>
  </r>
  <r>
    <x v="54"/>
    <s v="x"/>
    <m/>
    <x v="0"/>
    <x v="0"/>
    <s v="ALL"/>
    <x v="7"/>
    <x v="0"/>
    <m/>
    <m/>
    <x v="3"/>
    <x v="53"/>
    <n v="0"/>
    <n v="1.5"/>
    <x v="0"/>
    <n v="1.5"/>
  </r>
  <r>
    <x v="55"/>
    <s v="x"/>
    <m/>
    <x v="0"/>
    <x v="0"/>
    <s v="ALL"/>
    <x v="7"/>
    <x v="0"/>
    <m/>
    <m/>
    <x v="3"/>
    <x v="54"/>
    <n v="0"/>
    <n v="1.5"/>
    <x v="0"/>
    <n v="1.5"/>
  </r>
  <r>
    <x v="56"/>
    <s v="x"/>
    <m/>
    <x v="0"/>
    <x v="0"/>
    <s v="ALL"/>
    <x v="7"/>
    <x v="0"/>
    <m/>
    <m/>
    <x v="4"/>
    <x v="55"/>
    <n v="0"/>
    <n v="3.5"/>
    <x v="0"/>
    <n v="3.5"/>
  </r>
  <r>
    <x v="57"/>
    <s v="x"/>
    <m/>
    <x v="0"/>
    <x v="0"/>
    <s v="ALL"/>
    <x v="7"/>
    <x v="0"/>
    <m/>
    <m/>
    <x v="4"/>
    <x v="56"/>
    <n v="0"/>
    <n v="0.625"/>
    <x v="0"/>
    <n v="0.625"/>
  </r>
  <r>
    <x v="58"/>
    <s v="x"/>
    <m/>
    <x v="0"/>
    <x v="0"/>
    <s v="ALL"/>
    <x v="8"/>
    <x v="0"/>
    <m/>
    <m/>
    <x v="1"/>
    <x v="57"/>
    <n v="0"/>
    <n v="0.875"/>
    <x v="0"/>
    <n v="0.875"/>
  </r>
  <r>
    <x v="59"/>
    <s v="x"/>
    <m/>
    <x v="0"/>
    <x v="0"/>
    <s v="ALL"/>
    <x v="8"/>
    <x v="0"/>
    <m/>
    <m/>
    <x v="6"/>
    <x v="58"/>
    <n v="0"/>
    <n v="0.375"/>
    <x v="0"/>
    <n v="0.375"/>
  </r>
  <r>
    <x v="60"/>
    <s v="x"/>
    <m/>
    <x v="0"/>
    <x v="0"/>
    <s v="PCT / JMT"/>
    <x v="8"/>
    <x v="0"/>
    <m/>
    <m/>
    <x v="6"/>
    <x v="59"/>
    <n v="0"/>
    <n v="2.25"/>
    <x v="0"/>
    <n v="2.25"/>
  </r>
  <r>
    <x v="61"/>
    <s v="x"/>
    <m/>
    <x v="0"/>
    <x v="0"/>
    <s v="PCT / JMT"/>
    <x v="8"/>
    <x v="0"/>
    <m/>
    <m/>
    <x v="6"/>
    <x v="60"/>
    <n v="0"/>
    <n v="0.25"/>
    <x v="0"/>
    <n v="0.25"/>
  </r>
  <r>
    <x v="62"/>
    <s v="x"/>
    <m/>
    <x v="0"/>
    <x v="0"/>
    <s v="ALL"/>
    <x v="8"/>
    <x v="0"/>
    <m/>
    <s v="Baggie 1 / Pink Dry Sack (4L)"/>
    <x v="3"/>
    <x v="61"/>
    <n v="0"/>
    <n v="0.125"/>
    <x v="0"/>
    <n v="0.125"/>
  </r>
  <r>
    <x v="63"/>
    <s v="x"/>
    <m/>
    <x v="0"/>
    <x v="0"/>
    <s v="ALL"/>
    <x v="8"/>
    <x v="0"/>
    <m/>
    <s v="Baggie 1 / Pink Dry Sack (4L)"/>
    <x v="3"/>
    <x v="62"/>
    <n v="0"/>
    <n v="0.625"/>
    <x v="0"/>
    <n v="0.625"/>
  </r>
  <r>
    <x v="64"/>
    <s v="x"/>
    <m/>
    <x v="0"/>
    <x v="0"/>
    <s v="ALL"/>
    <x v="8"/>
    <x v="0"/>
    <m/>
    <s v="Baggie 1 / Pink Dry Sack (4L)"/>
    <x v="3"/>
    <x v="63"/>
    <n v="0"/>
    <n v="0.875"/>
    <x v="0"/>
    <n v="0.875"/>
  </r>
  <r>
    <x v="65"/>
    <s v="x"/>
    <m/>
    <x v="0"/>
    <x v="0"/>
    <s v="ALL"/>
    <x v="8"/>
    <x v="0"/>
    <m/>
    <s v="Baggie 2 / Pink Dry Sack (4L)"/>
    <x v="3"/>
    <x v="64"/>
    <n v="0"/>
    <n v="0.375"/>
    <x v="0"/>
    <n v="0.375"/>
  </r>
  <r>
    <x v="66"/>
    <m/>
    <m/>
    <x v="0"/>
    <x v="0"/>
    <s v="ALL"/>
    <x v="8"/>
    <x v="0"/>
    <m/>
    <s v="Baggie 2 / Pink Dry Sack (4L)"/>
    <x v="3"/>
    <x v="65"/>
    <n v="0"/>
    <n v="1"/>
    <x v="0"/>
    <n v="1"/>
  </r>
  <r>
    <x v="67"/>
    <s v="x"/>
    <m/>
    <x v="0"/>
    <x v="0"/>
    <s v="ALL"/>
    <x v="8"/>
    <x v="0"/>
    <m/>
    <s v="Baggie 2 / Pink Dry Sack (4L)"/>
    <x v="3"/>
    <x v="66"/>
    <n v="0"/>
    <n v="0.625"/>
    <x v="0"/>
    <n v="0.625"/>
  </r>
  <r>
    <x v="68"/>
    <s v="x"/>
    <m/>
    <x v="0"/>
    <x v="0"/>
    <s v="ALL"/>
    <x v="8"/>
    <x v="0"/>
    <m/>
    <s v="Baggie 2 / Pink Dry Sack (4L)"/>
    <x v="3"/>
    <x v="67"/>
    <n v="0"/>
    <n v="1.125"/>
    <x v="0"/>
    <n v="1.125"/>
  </r>
  <r>
    <x v="69"/>
    <s v="x"/>
    <m/>
    <x v="0"/>
    <x v="0"/>
    <s v="ALL"/>
    <x v="8"/>
    <x v="0"/>
    <m/>
    <s v="Baggie 3 / Pink Dry Sack (4L)"/>
    <x v="3"/>
    <x v="68"/>
    <n v="0"/>
    <n v="2.625"/>
    <x v="0"/>
    <n v="2.625"/>
  </r>
  <r>
    <x v="70"/>
    <s v="x"/>
    <m/>
    <x v="0"/>
    <x v="0"/>
    <s v="ALL"/>
    <x v="8"/>
    <x v="0"/>
    <m/>
    <s v="Baggie 5"/>
    <x v="3"/>
    <x v="69"/>
    <n v="0"/>
    <n v="6.625"/>
    <x v="0"/>
    <n v="6.625"/>
  </r>
  <r>
    <x v="71"/>
    <s v="x"/>
    <m/>
    <x v="0"/>
    <x v="0"/>
    <s v="ALL"/>
    <x v="8"/>
    <x v="0"/>
    <m/>
    <s v="Baggie 5 / Loksak 6"/>
    <x v="3"/>
    <x v="70"/>
    <n v="0"/>
    <n v="5.375"/>
    <x v="0"/>
    <n v="5.375"/>
  </r>
  <r>
    <x v="72"/>
    <s v="x"/>
    <m/>
    <x v="0"/>
    <x v="0"/>
    <s v="ALL"/>
    <x v="8"/>
    <x v="0"/>
    <m/>
    <s v="Pink Dry Sack (4L)"/>
    <x v="3"/>
    <x v="71"/>
    <n v="0"/>
    <n v="1.375"/>
    <x v="0"/>
    <n v="1.375"/>
  </r>
  <r>
    <x v="73"/>
    <s v="x"/>
    <m/>
    <x v="0"/>
    <x v="0"/>
    <s v="ALL"/>
    <x v="8"/>
    <x v="0"/>
    <m/>
    <m/>
    <x v="3"/>
    <x v="72"/>
    <n v="0"/>
    <n v="2.25"/>
    <x v="0"/>
    <n v="2.25"/>
  </r>
  <r>
    <x v="74"/>
    <s v="x"/>
    <m/>
    <x v="0"/>
    <x v="0"/>
    <s v="ALL"/>
    <x v="8"/>
    <x v="0"/>
    <m/>
    <s v="Loksak 3"/>
    <x v="4"/>
    <x v="73"/>
    <n v="0"/>
    <n v="1.125"/>
    <x v="0"/>
    <n v="1.125"/>
  </r>
  <r>
    <x v="75"/>
    <s v="x"/>
    <m/>
    <x v="0"/>
    <x v="0"/>
    <s v="ALL"/>
    <x v="8"/>
    <x v="0"/>
    <m/>
    <s v="Loksak 3"/>
    <x v="4"/>
    <x v="74"/>
    <n v="0"/>
    <n v="2.5"/>
    <x v="0"/>
    <n v="2.5"/>
  </r>
  <r>
    <x v="76"/>
    <s v="x"/>
    <m/>
    <x v="0"/>
    <x v="0"/>
    <s v="ALL"/>
    <x v="8"/>
    <x v="0"/>
    <m/>
    <s v="Loksak 3"/>
    <x v="4"/>
    <x v="75"/>
    <n v="0"/>
    <n v="2.625"/>
    <x v="0"/>
    <n v="2.625"/>
  </r>
  <r>
    <x v="77"/>
    <s v="x"/>
    <m/>
    <x v="0"/>
    <x v="0"/>
    <s v="ALL"/>
    <x v="9"/>
    <x v="0"/>
    <m/>
    <m/>
    <x v="1"/>
    <x v="76"/>
    <n v="0"/>
    <n v="0.75"/>
    <x v="0"/>
    <n v="0.75"/>
  </r>
  <r>
    <x v="78"/>
    <s v="x"/>
    <m/>
    <x v="0"/>
    <x v="0"/>
    <s v="ALL"/>
    <x v="9"/>
    <x v="0"/>
    <m/>
    <m/>
    <x v="1"/>
    <x v="77"/>
    <n v="0"/>
    <n v="2"/>
    <x v="0"/>
    <n v="2"/>
  </r>
  <r>
    <x v="79"/>
    <s v="x"/>
    <m/>
    <x v="0"/>
    <x v="0"/>
    <s v="ALL"/>
    <x v="9"/>
    <x v="0"/>
    <m/>
    <s v="Loksak 1"/>
    <x v="4"/>
    <x v="78"/>
    <n v="0"/>
    <n v="0.875"/>
    <x v="0"/>
    <n v="0.875"/>
  </r>
  <r>
    <x v="80"/>
    <s v="x"/>
    <m/>
    <x v="0"/>
    <x v="0"/>
    <s v="ALL"/>
    <x v="10"/>
    <x v="0"/>
    <m/>
    <s v="Loksak 7"/>
    <x v="7"/>
    <x v="79"/>
    <n v="0"/>
    <n v="4.375"/>
    <x v="0"/>
    <n v="4.375"/>
  </r>
  <r>
    <x v="81"/>
    <s v="x"/>
    <m/>
    <x v="0"/>
    <x v="0"/>
    <s v="JMT"/>
    <x v="10"/>
    <x v="0"/>
    <m/>
    <m/>
    <x v="7"/>
    <x v="80"/>
    <n v="0"/>
    <n v="3.125"/>
    <x v="0"/>
    <n v="3.125"/>
  </r>
  <r>
    <x v="82"/>
    <s v="x"/>
    <m/>
    <x v="0"/>
    <x v="0"/>
    <s v="JMT"/>
    <x v="10"/>
    <x v="0"/>
    <m/>
    <m/>
    <x v="7"/>
    <x v="81"/>
    <n v="0"/>
    <n v="0"/>
    <x v="0"/>
    <n v="0"/>
  </r>
  <r>
    <x v="83"/>
    <s v="x"/>
    <m/>
    <x v="0"/>
    <x v="0"/>
    <s v="ALL"/>
    <x v="10"/>
    <x v="0"/>
    <m/>
    <m/>
    <x v="7"/>
    <x v="82"/>
    <n v="0"/>
    <n v="1"/>
    <x v="0"/>
    <n v="1"/>
  </r>
  <r>
    <x v="84"/>
    <s v="x"/>
    <m/>
    <x v="0"/>
    <x v="0"/>
    <s v="ALL"/>
    <x v="11"/>
    <x v="0"/>
    <m/>
    <s v="Ultra-Sil Compression Sack (14L)"/>
    <x v="8"/>
    <x v="83"/>
    <n v="2"/>
    <n v="4.5"/>
    <x v="0"/>
    <n v="36.5"/>
  </r>
  <r>
    <x v="85"/>
    <s v="x"/>
    <m/>
    <x v="0"/>
    <x v="0"/>
    <s v="ALL"/>
    <x v="11"/>
    <x v="0"/>
    <m/>
    <s v="Green Dry Sack (4L)"/>
    <x v="3"/>
    <x v="84"/>
    <n v="0"/>
    <n v="1.625"/>
    <x v="0"/>
    <n v="1.625"/>
  </r>
  <r>
    <x v="86"/>
    <s v="x"/>
    <m/>
    <x v="0"/>
    <x v="0"/>
    <s v="ALL"/>
    <x v="11"/>
    <x v="0"/>
    <m/>
    <m/>
    <x v="3"/>
    <x v="85"/>
    <n v="0"/>
    <n v="13"/>
    <x v="0"/>
    <n v="13"/>
  </r>
  <r>
    <x v="87"/>
    <m/>
    <m/>
    <x v="0"/>
    <x v="0"/>
    <s v="ALL"/>
    <x v="12"/>
    <x v="0"/>
    <m/>
    <s v="Mess Kit"/>
    <x v="3"/>
    <x v="86"/>
    <n v="0"/>
    <n v="0.75"/>
    <x v="0"/>
    <n v="0.75"/>
  </r>
  <r>
    <x v="88"/>
    <s v="x"/>
    <m/>
    <x v="0"/>
    <x v="0"/>
    <s v="ALL"/>
    <x v="12"/>
    <x v="0"/>
    <m/>
    <m/>
    <x v="3"/>
    <x v="87"/>
    <n v="0"/>
    <n v="11"/>
    <x v="0"/>
    <n v="11"/>
  </r>
  <r>
    <x v="89"/>
    <s v="x"/>
    <m/>
    <x v="0"/>
    <x v="0"/>
    <s v="ALL"/>
    <x v="12"/>
    <x v="0"/>
    <m/>
    <s v="Mess Kit"/>
    <x v="9"/>
    <x v="88"/>
    <n v="0"/>
    <n v="3.25"/>
    <x v="0"/>
    <n v="3.25"/>
  </r>
  <r>
    <x v="90"/>
    <s v="x"/>
    <m/>
    <x v="0"/>
    <x v="0"/>
    <s v="ALL"/>
    <x v="12"/>
    <x v="0"/>
    <m/>
    <m/>
    <x v="10"/>
    <x v="89"/>
    <n v="0"/>
    <n v="2.625"/>
    <x v="0"/>
    <n v="2.625"/>
  </r>
  <r>
    <x v="91"/>
    <m/>
    <m/>
    <x v="0"/>
    <x v="0"/>
    <s v="ALL"/>
    <x v="12"/>
    <x v="0"/>
    <m/>
    <m/>
    <x v="11"/>
    <x v="90"/>
    <n v="0"/>
    <n v="4.5"/>
    <x v="0"/>
    <n v="4.5"/>
  </r>
  <r>
    <x v="92"/>
    <s v="x"/>
    <m/>
    <x v="0"/>
    <x v="0"/>
    <s v="ALL"/>
    <x v="12"/>
    <x v="0"/>
    <m/>
    <m/>
    <x v="11"/>
    <x v="91"/>
    <n v="0"/>
    <n v="1.375"/>
    <x v="0"/>
    <n v="1.375"/>
  </r>
  <r>
    <x v="93"/>
    <s v="x"/>
    <m/>
    <x v="0"/>
    <x v="0"/>
    <s v="ALL"/>
    <x v="12"/>
    <x v="0"/>
    <m/>
    <m/>
    <x v="11"/>
    <x v="92"/>
    <n v="0"/>
    <n v="4.75"/>
    <x v="0"/>
    <n v="4.75"/>
  </r>
  <r>
    <x v="94"/>
    <s v="x"/>
    <m/>
    <x v="0"/>
    <x v="0"/>
    <s v="ALL"/>
    <x v="12"/>
    <x v="0"/>
    <m/>
    <s v="Loksak 3"/>
    <x v="4"/>
    <x v="93"/>
    <n v="0"/>
    <n v="0.25"/>
    <x v="0"/>
    <n v="0.25"/>
  </r>
  <r>
    <x v="95"/>
    <s v="x"/>
    <m/>
    <x v="0"/>
    <x v="0"/>
    <s v="ALL"/>
    <x v="12"/>
    <x v="0"/>
    <m/>
    <m/>
    <x v="4"/>
    <x v="94"/>
    <n v="0"/>
    <n v="2.5"/>
    <x v="0"/>
    <n v="2.5"/>
  </r>
  <r>
    <x v="96"/>
    <s v="x"/>
    <m/>
    <x v="0"/>
    <x v="0"/>
    <s v="ALL"/>
    <x v="12"/>
    <x v="0"/>
    <m/>
    <m/>
    <x v="5"/>
    <x v="95"/>
    <n v="0"/>
    <n v="3.75"/>
    <x v="0"/>
    <n v="3.75"/>
  </r>
  <r>
    <x v="97"/>
    <s v="x"/>
    <m/>
    <x v="0"/>
    <x v="1"/>
    <s v="ALL"/>
    <x v="4"/>
    <x v="0"/>
    <m/>
    <m/>
    <x v="4"/>
    <x v="96"/>
    <n v="0"/>
    <n v="0.375"/>
    <x v="0"/>
    <n v="0.375"/>
  </r>
  <r>
    <x v="98"/>
    <s v="x"/>
    <m/>
    <x v="0"/>
    <x v="1"/>
    <s v="ALL"/>
    <x v="12"/>
    <x v="0"/>
    <m/>
    <m/>
    <x v="7"/>
    <x v="97"/>
    <n v="0"/>
    <n v="1.375"/>
    <x v="0"/>
    <n v="1.375"/>
  </r>
  <r>
    <x v="99"/>
    <m/>
    <m/>
    <x v="1"/>
    <x v="0"/>
    <s v="ALL"/>
    <x v="0"/>
    <x v="0"/>
    <m/>
    <m/>
    <x v="1"/>
    <x v="98"/>
    <n v="0"/>
    <n v="0.875"/>
    <x v="0"/>
    <n v="0.875"/>
  </r>
  <r>
    <x v="0"/>
    <m/>
    <m/>
    <x v="1"/>
    <x v="0"/>
    <s v="ALL"/>
    <x v="0"/>
    <x v="0"/>
    <s v="All-Season"/>
    <m/>
    <x v="0"/>
    <x v="99"/>
    <n v="2"/>
    <n v="8"/>
    <x v="0"/>
    <n v="40"/>
  </r>
  <r>
    <x v="100"/>
    <m/>
    <m/>
    <x v="1"/>
    <x v="0"/>
    <s v="ALL"/>
    <x v="13"/>
    <x v="4"/>
    <s v="Winter"/>
    <m/>
    <x v="3"/>
    <x v="100"/>
    <n v="0"/>
    <n v="5.375"/>
    <x v="0"/>
    <n v="5.375"/>
  </r>
  <r>
    <x v="101"/>
    <m/>
    <m/>
    <x v="1"/>
    <x v="0"/>
    <s v="AT"/>
    <x v="13"/>
    <x v="4"/>
    <s v="Winter"/>
    <m/>
    <x v="3"/>
    <x v="101"/>
    <n v="0"/>
    <n v="9.25"/>
    <x v="0"/>
    <n v="9.25"/>
  </r>
  <r>
    <x v="102"/>
    <m/>
    <m/>
    <x v="1"/>
    <x v="0"/>
    <s v="AT"/>
    <x v="13"/>
    <x v="4"/>
    <s v="Winter"/>
    <m/>
    <x v="5"/>
    <x v="102"/>
    <n v="0"/>
    <n v="4.875"/>
    <x v="0"/>
    <n v="4.875"/>
  </r>
  <r>
    <x v="103"/>
    <m/>
    <m/>
    <x v="1"/>
    <x v="0"/>
    <s v="AT"/>
    <x v="13"/>
    <x v="1"/>
    <s v="Winter"/>
    <m/>
    <x v="3"/>
    <x v="103"/>
    <n v="0"/>
    <n v="11.25"/>
    <x v="0"/>
    <n v="11.25"/>
  </r>
  <r>
    <x v="104"/>
    <m/>
    <m/>
    <x v="1"/>
    <x v="0"/>
    <s v="AT"/>
    <x v="13"/>
    <x v="1"/>
    <s v="Winter"/>
    <m/>
    <x v="3"/>
    <x v="104"/>
    <n v="0"/>
    <n v="3.125"/>
    <x v="0"/>
    <n v="3.125"/>
  </r>
  <r>
    <x v="105"/>
    <m/>
    <m/>
    <x v="1"/>
    <x v="0"/>
    <s v="AT"/>
    <x v="13"/>
    <x v="5"/>
    <s v="Winter"/>
    <m/>
    <x v="5"/>
    <x v="105"/>
    <n v="0"/>
    <n v="13.25"/>
    <x v="0"/>
    <n v="13.25"/>
  </r>
  <r>
    <x v="106"/>
    <m/>
    <m/>
    <x v="1"/>
    <x v="0"/>
    <s v="AT"/>
    <x v="13"/>
    <x v="3"/>
    <s v="All-Season"/>
    <m/>
    <x v="5"/>
    <x v="106"/>
    <n v="0"/>
    <n v="2.875"/>
    <x v="0"/>
    <n v="2.875"/>
  </r>
  <r>
    <x v="107"/>
    <m/>
    <s v="x"/>
    <x v="1"/>
    <x v="0"/>
    <s v="ALL"/>
    <x v="1"/>
    <x v="1"/>
    <s v="All-Season"/>
    <s v="Green Dry Sack (4L)"/>
    <x v="2"/>
    <x v="107"/>
    <n v="0"/>
    <n v="1.5"/>
    <x v="0"/>
    <n v="1.5"/>
  </r>
  <r>
    <x v="8"/>
    <m/>
    <s v="x"/>
    <x v="1"/>
    <x v="0"/>
    <s v="ALL"/>
    <x v="1"/>
    <x v="2"/>
    <s v="All-Season"/>
    <s v="Orange Mesh Stuff Sack"/>
    <x v="3"/>
    <x v="8"/>
    <n v="0"/>
    <n v="1.875"/>
    <x v="0"/>
    <n v="1.875"/>
  </r>
  <r>
    <x v="15"/>
    <m/>
    <m/>
    <x v="1"/>
    <x v="0"/>
    <s v="PCT / JMT"/>
    <x v="2"/>
    <x v="2"/>
    <s v="All-Season"/>
    <m/>
    <x v="4"/>
    <x v="108"/>
    <n v="0"/>
    <n v="2"/>
    <x v="0"/>
    <n v="2"/>
  </r>
  <r>
    <x v="108"/>
    <m/>
    <s v="x"/>
    <x v="1"/>
    <x v="0"/>
    <s v="ALL"/>
    <x v="14"/>
    <x v="0"/>
    <m/>
    <s v="Baggie 1 / Pink Dry Sack (4L)"/>
    <x v="3"/>
    <x v="109"/>
    <n v="0"/>
    <n v="7.25"/>
    <x v="0"/>
    <n v="7.25"/>
  </r>
  <r>
    <x v="109"/>
    <m/>
    <s v="x"/>
    <x v="1"/>
    <x v="0"/>
    <s v="ALL"/>
    <x v="4"/>
    <x v="3"/>
    <s v="Snow"/>
    <m/>
    <x v="1"/>
    <x v="110"/>
    <n v="0"/>
    <n v="14"/>
    <x v="0"/>
    <n v="14"/>
  </r>
  <r>
    <x v="110"/>
    <m/>
    <m/>
    <x v="1"/>
    <x v="0"/>
    <s v="JMT"/>
    <x v="4"/>
    <x v="0"/>
    <m/>
    <m/>
    <x v="1"/>
    <x v="111"/>
    <n v="0"/>
    <n v="3.875"/>
    <x v="0"/>
    <n v="3.875"/>
  </r>
  <r>
    <x v="111"/>
    <m/>
    <m/>
    <x v="1"/>
    <x v="0"/>
    <s v="JMT"/>
    <x v="4"/>
    <x v="0"/>
    <m/>
    <m/>
    <x v="0"/>
    <x v="112"/>
    <n v="1"/>
    <n v="4.375"/>
    <x v="0"/>
    <n v="20.375"/>
  </r>
  <r>
    <x v="112"/>
    <m/>
    <m/>
    <x v="1"/>
    <x v="0"/>
    <s v="ALL"/>
    <x v="5"/>
    <x v="0"/>
    <m/>
    <s v="Loksak 4"/>
    <x v="7"/>
    <x v="113"/>
    <n v="0"/>
    <n v="8.125"/>
    <x v="0"/>
    <n v="8.125"/>
  </r>
  <r>
    <x v="113"/>
    <m/>
    <s v="x"/>
    <x v="1"/>
    <x v="0"/>
    <s v="ALL"/>
    <x v="7"/>
    <x v="0"/>
    <m/>
    <s v="Pink Dry Sack (4L)"/>
    <x v="3"/>
    <x v="114"/>
    <n v="0"/>
    <n v="3.25"/>
    <x v="0"/>
    <n v="3.25"/>
  </r>
  <r>
    <x v="114"/>
    <m/>
    <m/>
    <x v="1"/>
    <x v="0"/>
    <s v="AT"/>
    <x v="7"/>
    <x v="0"/>
    <m/>
    <m/>
    <x v="3"/>
    <x v="115"/>
    <n v="0"/>
    <n v="1.75"/>
    <x v="0"/>
    <n v="1.75"/>
  </r>
  <r>
    <x v="115"/>
    <m/>
    <m/>
    <x v="1"/>
    <x v="0"/>
    <s v="AT"/>
    <x v="7"/>
    <x v="0"/>
    <m/>
    <m/>
    <x v="3"/>
    <x v="116"/>
    <n v="0"/>
    <n v="3.4"/>
    <x v="0"/>
    <n v="3.4"/>
  </r>
  <r>
    <x v="116"/>
    <m/>
    <s v="x"/>
    <x v="1"/>
    <x v="0"/>
    <s v="PCT / JMT"/>
    <x v="8"/>
    <x v="0"/>
    <m/>
    <m/>
    <x v="6"/>
    <x v="117"/>
    <n v="0"/>
    <n v="1"/>
    <x v="0"/>
    <n v="1"/>
  </r>
  <r>
    <x v="117"/>
    <m/>
    <s v="x"/>
    <x v="1"/>
    <x v="0"/>
    <s v="ALL"/>
    <x v="9"/>
    <x v="0"/>
    <m/>
    <s v="Loksak 5"/>
    <x v="4"/>
    <x v="118"/>
    <n v="0"/>
    <n v="2.375"/>
    <x v="0"/>
    <n v="2.375"/>
  </r>
  <r>
    <x v="118"/>
    <m/>
    <m/>
    <x v="1"/>
    <x v="0"/>
    <s v="AT"/>
    <x v="9"/>
    <x v="0"/>
    <m/>
    <m/>
    <x v="0"/>
    <x v="119"/>
    <n v="0"/>
    <n v="0.75"/>
    <x v="0"/>
    <n v="0.75"/>
  </r>
  <r>
    <x v="119"/>
    <m/>
    <m/>
    <x v="1"/>
    <x v="0"/>
    <s v="AT"/>
    <x v="10"/>
    <x v="0"/>
    <m/>
    <s v="Baggie 3"/>
    <x v="7"/>
    <x v="120"/>
    <n v="0"/>
    <n v="12"/>
    <x v="0"/>
    <n v="12"/>
  </r>
  <r>
    <x v="120"/>
    <m/>
    <m/>
    <x v="1"/>
    <x v="0"/>
    <s v="AT"/>
    <x v="10"/>
    <x v="0"/>
    <m/>
    <s v="Baggie 4"/>
    <x v="4"/>
    <x v="121"/>
    <n v="0"/>
    <n v="1"/>
    <x v="0"/>
    <n v="1"/>
  </r>
  <r>
    <x v="121"/>
    <m/>
    <m/>
    <x v="1"/>
    <x v="0"/>
    <s v="ALL"/>
    <x v="11"/>
    <x v="0"/>
    <s v="Winter"/>
    <m/>
    <x v="8"/>
    <x v="122"/>
    <n v="0"/>
    <n v="14"/>
    <x v="0"/>
    <n v="14"/>
  </r>
  <r>
    <x v="122"/>
    <m/>
    <m/>
    <x v="1"/>
    <x v="0"/>
    <s v="AT"/>
    <x v="11"/>
    <x v="0"/>
    <m/>
    <m/>
    <x v="3"/>
    <x v="123"/>
    <n v="0"/>
    <n v="14.625"/>
    <x v="0"/>
    <n v="14.625"/>
  </r>
  <r>
    <x v="123"/>
    <m/>
    <m/>
    <x v="1"/>
    <x v="0"/>
    <s v="AT"/>
    <x v="11"/>
    <x v="0"/>
    <m/>
    <m/>
    <x v="12"/>
    <x v="124"/>
    <n v="2"/>
    <n v="2.375"/>
    <x v="0"/>
    <n v="34.375"/>
  </r>
  <r>
    <x v="124"/>
    <m/>
    <m/>
    <x v="1"/>
    <x v="0"/>
    <s v="AT"/>
    <x v="11"/>
    <x v="0"/>
    <m/>
    <m/>
    <x v="12"/>
    <x v="125"/>
    <n v="1"/>
    <n v="6.25"/>
    <x v="0"/>
    <n v="22.25"/>
  </r>
  <r>
    <x v="125"/>
    <m/>
    <m/>
    <x v="1"/>
    <x v="0"/>
    <s v="AT"/>
    <x v="11"/>
    <x v="0"/>
    <m/>
    <m/>
    <x v="12"/>
    <x v="126"/>
    <n v="2"/>
    <n v="3.875"/>
    <x v="0"/>
    <n v="35.875"/>
  </r>
  <r>
    <x v="126"/>
    <m/>
    <m/>
    <x v="1"/>
    <x v="0"/>
    <s v="AT"/>
    <x v="11"/>
    <x v="0"/>
    <m/>
    <m/>
    <x v="11"/>
    <x v="127"/>
    <n v="1"/>
    <n v="6"/>
    <x v="0"/>
    <n v="22"/>
  </r>
  <r>
    <x v="127"/>
    <m/>
    <m/>
    <x v="1"/>
    <x v="0"/>
    <s v="ALL"/>
    <x v="12"/>
    <x v="0"/>
    <m/>
    <m/>
    <x v="7"/>
    <x v="128"/>
    <n v="0"/>
    <n v="1.5"/>
    <x v="0"/>
    <n v="1.5"/>
  </r>
  <r>
    <x v="128"/>
    <m/>
    <m/>
    <x v="1"/>
    <x v="0"/>
    <s v="AT"/>
    <x v="12"/>
    <x v="0"/>
    <m/>
    <s v="Blue Stuff Sack"/>
    <x v="3"/>
    <x v="129"/>
    <n v="0"/>
    <n v="0.5"/>
    <x v="0"/>
    <n v="0.5"/>
  </r>
  <r>
    <x v="129"/>
    <m/>
    <m/>
    <x v="1"/>
    <x v="1"/>
    <s v="ALL"/>
    <x v="0"/>
    <x v="0"/>
    <m/>
    <m/>
    <x v="0"/>
    <x v="130"/>
    <n v="1"/>
    <n v="0"/>
    <x v="0"/>
    <n v="16"/>
  </r>
  <r>
    <x v="130"/>
    <m/>
    <m/>
    <x v="1"/>
    <x v="1"/>
    <s v="AT"/>
    <x v="13"/>
    <x v="1"/>
    <s v="Winter"/>
    <m/>
    <x v="3"/>
    <x v="131"/>
    <n v="0"/>
    <n v="3.125"/>
    <x v="0"/>
    <n v="3.125"/>
  </r>
  <r>
    <x v="131"/>
    <m/>
    <m/>
    <x v="1"/>
    <x v="1"/>
    <s v="ALL"/>
    <x v="13"/>
    <x v="1"/>
    <s v="All-Season"/>
    <m/>
    <x v="3"/>
    <x v="132"/>
    <n v="0"/>
    <n v="3.125"/>
    <x v="0"/>
    <n v="3.125"/>
  </r>
  <r>
    <x v="4"/>
    <m/>
    <m/>
    <x v="1"/>
    <x v="1"/>
    <s v="ALL"/>
    <x v="13"/>
    <x v="1"/>
    <s v="All-Season"/>
    <s v="Green Dry Sack (4L)"/>
    <x v="2"/>
    <x v="133"/>
    <n v="0"/>
    <n v="6"/>
    <x v="0"/>
    <n v="6"/>
  </r>
  <r>
    <x v="132"/>
    <m/>
    <m/>
    <x v="1"/>
    <x v="1"/>
    <s v="ALL"/>
    <x v="13"/>
    <x v="1"/>
    <s v="All-Season"/>
    <m/>
    <x v="2"/>
    <x v="134"/>
    <n v="0"/>
    <n v="3.5"/>
    <x v="0"/>
    <n v="3.5"/>
  </r>
  <r>
    <x v="133"/>
    <m/>
    <m/>
    <x v="1"/>
    <x v="1"/>
    <s v="ALL"/>
    <x v="13"/>
    <x v="1"/>
    <s v="All-Season"/>
    <m/>
    <x v="2"/>
    <x v="135"/>
    <n v="0"/>
    <n v="2.25"/>
    <x v="0"/>
    <n v="2.25"/>
  </r>
  <r>
    <x v="134"/>
    <m/>
    <m/>
    <x v="1"/>
    <x v="1"/>
    <s v="ALL"/>
    <x v="13"/>
    <x v="2"/>
    <m/>
    <m/>
    <x v="3"/>
    <x v="136"/>
    <n v="0"/>
    <n v="12.375"/>
    <x v="0"/>
    <n v="12.375"/>
  </r>
  <r>
    <x v="135"/>
    <m/>
    <m/>
    <x v="1"/>
    <x v="1"/>
    <s v="ALL"/>
    <x v="13"/>
    <x v="2"/>
    <s v="All-Season"/>
    <m/>
    <x v="3"/>
    <x v="137"/>
    <n v="0"/>
    <n v="3.875"/>
    <x v="0"/>
    <n v="3.875"/>
  </r>
  <r>
    <x v="136"/>
    <m/>
    <m/>
    <x v="1"/>
    <x v="1"/>
    <s v="ALL"/>
    <x v="13"/>
    <x v="2"/>
    <m/>
    <m/>
    <x v="2"/>
    <x v="138"/>
    <n v="0"/>
    <n v="5.625"/>
    <x v="0"/>
    <n v="5.625"/>
  </r>
  <r>
    <x v="137"/>
    <m/>
    <m/>
    <x v="1"/>
    <x v="1"/>
    <s v="ALL"/>
    <x v="13"/>
    <x v="2"/>
    <s v="All-Season"/>
    <m/>
    <x v="2"/>
    <x v="139"/>
    <n v="0"/>
    <n v="3.625"/>
    <x v="0"/>
    <n v="3.625"/>
  </r>
  <r>
    <x v="138"/>
    <m/>
    <m/>
    <x v="1"/>
    <x v="1"/>
    <s v="ALL"/>
    <x v="13"/>
    <x v="2"/>
    <s v="All-Season"/>
    <m/>
    <x v="2"/>
    <x v="140"/>
    <n v="0"/>
    <n v="3.625"/>
    <x v="0"/>
    <n v="3.625"/>
  </r>
  <r>
    <x v="139"/>
    <m/>
    <m/>
    <x v="1"/>
    <x v="1"/>
    <s v="ALL"/>
    <x v="13"/>
    <x v="2"/>
    <s v="Winter"/>
    <m/>
    <x v="2"/>
    <x v="141"/>
    <n v="0"/>
    <n v="3.625"/>
    <x v="0"/>
    <n v="3.625"/>
  </r>
  <r>
    <x v="140"/>
    <m/>
    <m/>
    <x v="1"/>
    <x v="1"/>
    <s v="ALL"/>
    <x v="13"/>
    <x v="3"/>
    <s v="All-Season"/>
    <s v="Pink Dry Sack (4L)"/>
    <x v="3"/>
    <x v="142"/>
    <n v="0"/>
    <n v="1.625"/>
    <x v="0"/>
    <n v="1.625"/>
  </r>
  <r>
    <x v="141"/>
    <m/>
    <m/>
    <x v="1"/>
    <x v="1"/>
    <s v="ALL"/>
    <x v="13"/>
    <x v="3"/>
    <s v="All-Season"/>
    <m/>
    <x v="3"/>
    <x v="143"/>
    <n v="0"/>
    <n v="1.375"/>
    <x v="0"/>
    <n v="1.375"/>
  </r>
  <r>
    <x v="142"/>
    <m/>
    <m/>
    <x v="1"/>
    <x v="1"/>
    <s v="AT"/>
    <x v="13"/>
    <x v="3"/>
    <m/>
    <m/>
    <x v="3"/>
    <x v="144"/>
    <n v="1"/>
    <n v="1.5"/>
    <x v="0"/>
    <n v="17.5"/>
  </r>
  <r>
    <x v="143"/>
    <m/>
    <m/>
    <x v="1"/>
    <x v="1"/>
    <s v="AT"/>
    <x v="13"/>
    <x v="3"/>
    <m/>
    <m/>
    <x v="3"/>
    <x v="145"/>
    <n v="0"/>
    <n v="15"/>
    <x v="0"/>
    <n v="15"/>
  </r>
  <r>
    <x v="144"/>
    <m/>
    <m/>
    <x v="1"/>
    <x v="1"/>
    <s v="AT"/>
    <x v="13"/>
    <x v="3"/>
    <s v="All-Season"/>
    <m/>
    <x v="3"/>
    <x v="146"/>
    <n v="0"/>
    <n v="14.625"/>
    <x v="0"/>
    <n v="14.625"/>
  </r>
  <r>
    <x v="13"/>
    <m/>
    <m/>
    <x v="1"/>
    <x v="1"/>
    <s v="ALL"/>
    <x v="13"/>
    <x v="3"/>
    <s v="All-Season"/>
    <m/>
    <x v="3"/>
    <x v="147"/>
    <n v="0"/>
    <n v="6.7"/>
    <x v="0"/>
    <n v="6.7"/>
  </r>
  <r>
    <x v="145"/>
    <m/>
    <m/>
    <x v="1"/>
    <x v="1"/>
    <s v="ALL"/>
    <x v="13"/>
    <x v="3"/>
    <s v="Summer"/>
    <m/>
    <x v="0"/>
    <x v="148"/>
    <n v="0"/>
    <n v="1"/>
    <x v="0"/>
    <n v="1"/>
  </r>
  <r>
    <x v="146"/>
    <m/>
    <m/>
    <x v="1"/>
    <x v="1"/>
    <s v="ALL"/>
    <x v="13"/>
    <x v="3"/>
    <s v="All-Season"/>
    <m/>
    <x v="0"/>
    <x v="149"/>
    <n v="0"/>
    <n v="4.25"/>
    <x v="0"/>
    <n v="4.25"/>
  </r>
  <r>
    <x v="147"/>
    <m/>
    <m/>
    <x v="1"/>
    <x v="1"/>
    <s v="ALL"/>
    <x v="1"/>
    <x v="1"/>
    <s v="All-Season"/>
    <s v="Green Dry Sack (4L)"/>
    <x v="2"/>
    <x v="150"/>
    <n v="0"/>
    <n v="5.625"/>
    <x v="0"/>
    <n v="5.625"/>
  </r>
  <r>
    <x v="148"/>
    <m/>
    <s v="x"/>
    <x v="1"/>
    <x v="1"/>
    <s v="ALL"/>
    <x v="1"/>
    <x v="3"/>
    <s v="All-Season"/>
    <s v="Orange Mesh Stuff Sack"/>
    <x v="3"/>
    <x v="151"/>
    <n v="0"/>
    <n v="1.375"/>
    <x v="0"/>
    <n v="1.375"/>
  </r>
  <r>
    <x v="13"/>
    <m/>
    <m/>
    <x v="1"/>
    <x v="1"/>
    <s v="ALL"/>
    <x v="1"/>
    <x v="3"/>
    <s v="All-Season"/>
    <m/>
    <x v="3"/>
    <x v="152"/>
    <n v="0"/>
    <n v="9.5"/>
    <x v="0"/>
    <n v="9.5"/>
  </r>
  <r>
    <x v="149"/>
    <m/>
    <m/>
    <x v="1"/>
    <x v="1"/>
    <s v="ALL"/>
    <x v="2"/>
    <x v="2"/>
    <s v="All-Season"/>
    <m/>
    <x v="5"/>
    <x v="153"/>
    <n v="0"/>
    <n v="2.25"/>
    <x v="0"/>
    <n v="2.25"/>
  </r>
  <r>
    <x v="150"/>
    <m/>
    <m/>
    <x v="1"/>
    <x v="1"/>
    <s v="ALL"/>
    <x v="2"/>
    <x v="2"/>
    <s v="All-Season"/>
    <m/>
    <x v="5"/>
    <x v="154"/>
    <n v="0"/>
    <n v="11.875"/>
    <x v="0"/>
    <n v="11.875"/>
  </r>
  <r>
    <x v="151"/>
    <m/>
    <m/>
    <x v="1"/>
    <x v="1"/>
    <s v="ALL"/>
    <x v="2"/>
    <x v="2"/>
    <s v="All-Season"/>
    <m/>
    <x v="5"/>
    <x v="155"/>
    <n v="0"/>
    <n v="2.5"/>
    <x v="0"/>
    <n v="2.5"/>
  </r>
  <r>
    <x v="106"/>
    <m/>
    <m/>
    <x v="1"/>
    <x v="1"/>
    <s v="ALL"/>
    <x v="2"/>
    <x v="3"/>
    <s v="All-Season"/>
    <m/>
    <x v="5"/>
    <x v="156"/>
    <n v="0"/>
    <n v="3.375"/>
    <x v="0"/>
    <n v="3.375"/>
  </r>
  <r>
    <x v="152"/>
    <m/>
    <m/>
    <x v="1"/>
    <x v="1"/>
    <s v="ALL"/>
    <x v="14"/>
    <x v="0"/>
    <m/>
    <m/>
    <x v="3"/>
    <x v="40"/>
    <n v="7"/>
    <n v="13.625"/>
    <x v="0"/>
    <n v="124.5"/>
  </r>
  <r>
    <x v="153"/>
    <m/>
    <m/>
    <x v="1"/>
    <x v="1"/>
    <s v="ALL"/>
    <x v="14"/>
    <x v="0"/>
    <m/>
    <m/>
    <x v="0"/>
    <x v="157"/>
    <n v="2"/>
    <n v="2.125"/>
    <x v="0"/>
    <n v="34.125"/>
  </r>
  <r>
    <x v="154"/>
    <m/>
    <m/>
    <x v="1"/>
    <x v="1"/>
    <s v="PCT / JMT"/>
    <x v="3"/>
    <x v="0"/>
    <m/>
    <s v="Loksak 1"/>
    <x v="4"/>
    <x v="158"/>
    <n v="0"/>
    <n v="2"/>
    <x v="0"/>
    <n v="2"/>
  </r>
  <r>
    <x v="155"/>
    <m/>
    <m/>
    <x v="1"/>
    <x v="1"/>
    <s v="ALL"/>
    <x v="3"/>
    <x v="0"/>
    <m/>
    <s v="Loksak 1"/>
    <x v="4"/>
    <x v="159"/>
    <n v="0"/>
    <n v="0.5"/>
    <x v="0"/>
    <n v="0.5"/>
  </r>
  <r>
    <x v="156"/>
    <m/>
    <m/>
    <x v="1"/>
    <x v="1"/>
    <s v="ALL"/>
    <x v="3"/>
    <x v="0"/>
    <m/>
    <s v="Loksak 1"/>
    <x v="4"/>
    <x v="160"/>
    <n v="0"/>
    <n v="5.375"/>
    <x v="0"/>
    <n v="5.375"/>
  </r>
  <r>
    <x v="157"/>
    <m/>
    <m/>
    <x v="1"/>
    <x v="1"/>
    <s v="ALL"/>
    <x v="3"/>
    <x v="0"/>
    <m/>
    <m/>
    <x v="4"/>
    <x v="161"/>
    <n v="0"/>
    <n v="3.625"/>
    <x v="0"/>
    <n v="3.625"/>
  </r>
  <r>
    <x v="158"/>
    <m/>
    <m/>
    <x v="1"/>
    <x v="1"/>
    <s v="ALL"/>
    <x v="4"/>
    <x v="3"/>
    <m/>
    <m/>
    <x v="5"/>
    <x v="162"/>
    <n v="2"/>
    <n v="8.875"/>
    <x v="0"/>
    <n v="40.875"/>
  </r>
  <r>
    <x v="159"/>
    <m/>
    <m/>
    <x v="1"/>
    <x v="1"/>
    <s v="JMT"/>
    <x v="4"/>
    <x v="0"/>
    <s v="Snow"/>
    <m/>
    <x v="7"/>
    <x v="163"/>
    <n v="0"/>
    <n v="1.25"/>
    <x v="0"/>
    <n v="1.25"/>
  </r>
  <r>
    <x v="160"/>
    <m/>
    <m/>
    <x v="1"/>
    <x v="1"/>
    <s v="ALL"/>
    <x v="5"/>
    <x v="0"/>
    <m/>
    <s v="Baggie 1 / Pink Dry Sack (4L)"/>
    <x v="3"/>
    <x v="164"/>
    <n v="0"/>
    <n v="0.375"/>
    <x v="0"/>
    <n v="0.375"/>
  </r>
  <r>
    <x v="161"/>
    <m/>
    <m/>
    <x v="1"/>
    <x v="1"/>
    <s v="ALL"/>
    <x v="5"/>
    <x v="0"/>
    <m/>
    <m/>
    <x v="3"/>
    <x v="165"/>
    <n v="0"/>
    <n v="2.375"/>
    <x v="0"/>
    <n v="2.375"/>
  </r>
  <r>
    <x v="162"/>
    <m/>
    <m/>
    <x v="1"/>
    <x v="1"/>
    <s v="ALL"/>
    <x v="5"/>
    <x v="0"/>
    <m/>
    <m/>
    <x v="4"/>
    <x v="166"/>
    <n v="0"/>
    <n v="2.25"/>
    <x v="0"/>
    <n v="2.25"/>
  </r>
  <r>
    <x v="163"/>
    <m/>
    <m/>
    <x v="1"/>
    <x v="1"/>
    <s v="ALL"/>
    <x v="5"/>
    <x v="0"/>
    <m/>
    <m/>
    <x v="4"/>
    <x v="167"/>
    <n v="0"/>
    <n v="1.625"/>
    <x v="0"/>
    <n v="1.625"/>
  </r>
  <r>
    <x v="43"/>
    <m/>
    <m/>
    <x v="1"/>
    <x v="1"/>
    <s v="ALL"/>
    <x v="7"/>
    <x v="0"/>
    <m/>
    <m/>
    <x v="1"/>
    <x v="168"/>
    <n v="0"/>
    <n v="4.5"/>
    <x v="0"/>
    <n v="4.5"/>
  </r>
  <r>
    <x v="164"/>
    <m/>
    <m/>
    <x v="1"/>
    <x v="1"/>
    <s v="JMT"/>
    <x v="7"/>
    <x v="0"/>
    <m/>
    <m/>
    <x v="1"/>
    <x v="169"/>
    <n v="0"/>
    <n v="8"/>
    <x v="0"/>
    <n v="8"/>
  </r>
  <r>
    <x v="165"/>
    <m/>
    <m/>
    <x v="1"/>
    <x v="1"/>
    <s v="ALL"/>
    <x v="7"/>
    <x v="0"/>
    <m/>
    <s v="Blue Stuff Sack"/>
    <x v="3"/>
    <x v="170"/>
    <n v="0"/>
    <n v="2.75"/>
    <x v="0"/>
    <n v="2.75"/>
  </r>
  <r>
    <x v="166"/>
    <m/>
    <m/>
    <x v="1"/>
    <x v="1"/>
    <s v="JMT"/>
    <x v="7"/>
    <x v="0"/>
    <m/>
    <m/>
    <x v="3"/>
    <x v="171"/>
    <n v="0"/>
    <n v="9.25"/>
    <x v="0"/>
    <n v="9.25"/>
  </r>
  <r>
    <x v="49"/>
    <m/>
    <m/>
    <x v="1"/>
    <x v="1"/>
    <s v="JMT"/>
    <x v="7"/>
    <x v="0"/>
    <m/>
    <m/>
    <x v="3"/>
    <x v="172"/>
    <n v="2"/>
    <n v="9.125"/>
    <x v="0"/>
    <n v="41.125"/>
  </r>
  <r>
    <x v="167"/>
    <m/>
    <m/>
    <x v="1"/>
    <x v="1"/>
    <s v="ALL"/>
    <x v="7"/>
    <x v="0"/>
    <m/>
    <m/>
    <x v="3"/>
    <x v="173"/>
    <n v="0"/>
    <n v="1.875"/>
    <x v="0"/>
    <n v="1.875"/>
  </r>
  <r>
    <x v="168"/>
    <m/>
    <m/>
    <x v="1"/>
    <x v="1"/>
    <s v="ALL"/>
    <x v="7"/>
    <x v="0"/>
    <m/>
    <m/>
    <x v="3"/>
    <x v="174"/>
    <n v="0"/>
    <n v="1.125"/>
    <x v="0"/>
    <n v="1.125"/>
  </r>
  <r>
    <x v="169"/>
    <m/>
    <m/>
    <x v="1"/>
    <x v="1"/>
    <s v="AT"/>
    <x v="7"/>
    <x v="0"/>
    <m/>
    <m/>
    <x v="3"/>
    <x v="175"/>
    <n v="0"/>
    <n v="4.75"/>
    <x v="0"/>
    <n v="4.75"/>
  </r>
  <r>
    <x v="170"/>
    <m/>
    <m/>
    <x v="1"/>
    <x v="1"/>
    <s v="AT"/>
    <x v="7"/>
    <x v="0"/>
    <m/>
    <m/>
    <x v="12"/>
    <x v="176"/>
    <n v="0"/>
    <n v="1.625"/>
    <x v="0"/>
    <n v="1.625"/>
  </r>
  <r>
    <x v="171"/>
    <m/>
    <m/>
    <x v="1"/>
    <x v="1"/>
    <s v="ALL"/>
    <x v="7"/>
    <x v="0"/>
    <m/>
    <m/>
    <x v="12"/>
    <x v="177"/>
    <n v="0"/>
    <n v="4.5"/>
    <x v="0"/>
    <n v="4.5"/>
  </r>
  <r>
    <x v="172"/>
    <m/>
    <m/>
    <x v="1"/>
    <x v="1"/>
    <s v="ALL"/>
    <x v="7"/>
    <x v="0"/>
    <m/>
    <m/>
    <x v="11"/>
    <x v="178"/>
    <n v="0"/>
    <n v="4.875"/>
    <x v="0"/>
    <n v="4.875"/>
  </r>
  <r>
    <x v="173"/>
    <m/>
    <m/>
    <x v="1"/>
    <x v="1"/>
    <s v="ALL"/>
    <x v="7"/>
    <x v="0"/>
    <m/>
    <m/>
    <x v="0"/>
    <x v="179"/>
    <n v="0"/>
    <n v="1.5"/>
    <x v="0"/>
    <n v="1.5"/>
  </r>
  <r>
    <x v="174"/>
    <m/>
    <m/>
    <x v="1"/>
    <x v="1"/>
    <s v="ALL"/>
    <x v="8"/>
    <x v="0"/>
    <m/>
    <m/>
    <x v="13"/>
    <x v="180"/>
    <n v="0"/>
    <n v="0.25"/>
    <x v="0"/>
    <n v="0.25"/>
  </r>
  <r>
    <x v="175"/>
    <m/>
    <m/>
    <x v="1"/>
    <x v="1"/>
    <s v="ALL"/>
    <x v="8"/>
    <x v="0"/>
    <m/>
    <m/>
    <x v="13"/>
    <x v="181"/>
    <n v="0"/>
    <n v="2"/>
    <x v="0"/>
    <n v="2"/>
  </r>
  <r>
    <x v="176"/>
    <m/>
    <m/>
    <x v="1"/>
    <x v="1"/>
    <s v="ALL"/>
    <x v="8"/>
    <x v="0"/>
    <m/>
    <s v="Baggie 1 / Pink Dry Sack (4L)"/>
    <x v="3"/>
    <x v="182"/>
    <n v="0"/>
    <n v="0.875"/>
    <x v="0"/>
    <n v="0.875"/>
  </r>
  <r>
    <x v="177"/>
    <m/>
    <m/>
    <x v="1"/>
    <x v="1"/>
    <s v="ALL"/>
    <x v="8"/>
    <x v="0"/>
    <m/>
    <s v="Baggie 1 / Pink Dry Sack (4L)"/>
    <x v="3"/>
    <x v="183"/>
    <n v="0"/>
    <n v="1.375"/>
    <x v="0"/>
    <n v="1.375"/>
  </r>
  <r>
    <x v="113"/>
    <m/>
    <m/>
    <x v="1"/>
    <x v="1"/>
    <s v="ALL"/>
    <x v="8"/>
    <x v="0"/>
    <m/>
    <s v="Pink Dry Sack (4L)"/>
    <x v="3"/>
    <x v="184"/>
    <n v="0"/>
    <n v="1.125"/>
    <x v="0"/>
    <n v="1.125"/>
  </r>
  <r>
    <x v="178"/>
    <m/>
    <m/>
    <x v="1"/>
    <x v="1"/>
    <s v="ALL"/>
    <x v="8"/>
    <x v="0"/>
    <m/>
    <m/>
    <x v="3"/>
    <x v="185"/>
    <n v="0"/>
    <n v="1.25"/>
    <x v="0"/>
    <n v="1.25"/>
  </r>
  <r>
    <x v="179"/>
    <m/>
    <m/>
    <x v="1"/>
    <x v="1"/>
    <s v="ALL"/>
    <x v="8"/>
    <x v="0"/>
    <m/>
    <s v="Loksak 3"/>
    <x v="4"/>
    <x v="186"/>
    <n v="0"/>
    <n v="2.75"/>
    <x v="0"/>
    <n v="2.75"/>
  </r>
  <r>
    <x v="180"/>
    <m/>
    <m/>
    <x v="1"/>
    <x v="1"/>
    <s v="ALL"/>
    <x v="8"/>
    <x v="0"/>
    <m/>
    <m/>
    <x v="4"/>
    <x v="187"/>
    <n v="0"/>
    <n v="0.625"/>
    <x v="0"/>
    <n v="0.625"/>
  </r>
  <r>
    <x v="181"/>
    <m/>
    <m/>
    <x v="1"/>
    <x v="1"/>
    <s v="ALL"/>
    <x v="8"/>
    <x v="0"/>
    <m/>
    <m/>
    <x v="4"/>
    <x v="188"/>
    <n v="0"/>
    <n v="0.875"/>
    <x v="0"/>
    <n v="0.875"/>
  </r>
  <r>
    <x v="182"/>
    <m/>
    <m/>
    <x v="1"/>
    <x v="1"/>
    <s v="AT"/>
    <x v="8"/>
    <x v="0"/>
    <m/>
    <m/>
    <x v="4"/>
    <x v="189"/>
    <n v="0"/>
    <n v="1"/>
    <x v="0"/>
    <n v="1"/>
  </r>
  <r>
    <x v="178"/>
    <m/>
    <m/>
    <x v="1"/>
    <x v="1"/>
    <s v="ALL"/>
    <x v="8"/>
    <x v="0"/>
    <m/>
    <m/>
    <x v="4"/>
    <x v="190"/>
    <n v="0"/>
    <n v="0.625"/>
    <x v="0"/>
    <n v="0.625"/>
  </r>
  <r>
    <x v="183"/>
    <m/>
    <m/>
    <x v="1"/>
    <x v="1"/>
    <s v="ALL"/>
    <x v="15"/>
    <x v="0"/>
    <m/>
    <m/>
    <x v="0"/>
    <x v="191"/>
    <n v="0"/>
    <n v="2.75"/>
    <x v="0"/>
    <n v="2.75"/>
  </r>
  <r>
    <x v="184"/>
    <m/>
    <m/>
    <x v="1"/>
    <x v="1"/>
    <s v="ALL"/>
    <x v="9"/>
    <x v="0"/>
    <m/>
    <m/>
    <x v="4"/>
    <x v="192"/>
    <n v="0"/>
    <n v="4.75"/>
    <x v="0"/>
    <n v="4.75"/>
  </r>
  <r>
    <x v="185"/>
    <m/>
    <m/>
    <x v="1"/>
    <x v="1"/>
    <s v="ALL"/>
    <x v="9"/>
    <x v="0"/>
    <m/>
    <m/>
    <x v="4"/>
    <x v="193"/>
    <n v="0"/>
    <n v="2.375"/>
    <x v="0"/>
    <n v="2.375"/>
  </r>
  <r>
    <x v="186"/>
    <m/>
    <m/>
    <x v="1"/>
    <x v="1"/>
    <s v="AT"/>
    <x v="9"/>
    <x v="0"/>
    <m/>
    <m/>
    <x v="4"/>
    <x v="194"/>
    <n v="0"/>
    <n v="0.375"/>
    <x v="0"/>
    <n v="0.375"/>
  </r>
  <r>
    <x v="187"/>
    <m/>
    <m/>
    <x v="1"/>
    <x v="1"/>
    <s v="ALL"/>
    <x v="9"/>
    <x v="0"/>
    <m/>
    <m/>
    <x v="0"/>
    <x v="195"/>
    <n v="0"/>
    <n v="3.25"/>
    <x v="0"/>
    <n v="3.25"/>
  </r>
  <r>
    <x v="188"/>
    <m/>
    <m/>
    <x v="1"/>
    <x v="1"/>
    <s v="ALL"/>
    <x v="9"/>
    <x v="0"/>
    <m/>
    <m/>
    <x v="0"/>
    <x v="196"/>
    <n v="0"/>
    <n v="7.125"/>
    <x v="0"/>
    <n v="7.125"/>
  </r>
  <r>
    <x v="189"/>
    <m/>
    <m/>
    <x v="1"/>
    <x v="1"/>
    <s v="ALL"/>
    <x v="9"/>
    <x v="0"/>
    <m/>
    <m/>
    <x v="0"/>
    <x v="197"/>
    <n v="0"/>
    <n v="11"/>
    <x v="0"/>
    <n v="11"/>
  </r>
  <r>
    <x v="190"/>
    <m/>
    <m/>
    <x v="1"/>
    <x v="1"/>
    <s v="ALL"/>
    <x v="9"/>
    <x v="0"/>
    <m/>
    <m/>
    <x v="0"/>
    <x v="198"/>
    <n v="0"/>
    <n v="6.25"/>
    <x v="0"/>
    <n v="6.25"/>
  </r>
  <r>
    <x v="191"/>
    <m/>
    <m/>
    <x v="1"/>
    <x v="1"/>
    <s v="JMT"/>
    <x v="10"/>
    <x v="0"/>
    <m/>
    <m/>
    <x v="7"/>
    <x v="199"/>
    <n v="0"/>
    <n v="5.375"/>
    <x v="0"/>
    <n v="5.375"/>
  </r>
  <r>
    <x v="192"/>
    <m/>
    <m/>
    <x v="1"/>
    <x v="1"/>
    <s v="PCT / JMT"/>
    <x v="10"/>
    <x v="0"/>
    <m/>
    <m/>
    <x v="7"/>
    <x v="200"/>
    <n v="1"/>
    <n v="0.25"/>
    <x v="0"/>
    <n v="16.25"/>
  </r>
  <r>
    <x v="84"/>
    <m/>
    <m/>
    <x v="1"/>
    <x v="1"/>
    <s v="ALL"/>
    <x v="11"/>
    <x v="0"/>
    <s v="Summer"/>
    <m/>
    <x v="8"/>
    <x v="201"/>
    <n v="1"/>
    <n v="14.125"/>
    <x v="0"/>
    <n v="30.125"/>
  </r>
  <r>
    <x v="86"/>
    <m/>
    <m/>
    <x v="1"/>
    <x v="1"/>
    <s v="ALL"/>
    <x v="11"/>
    <x v="0"/>
    <m/>
    <m/>
    <x v="3"/>
    <x v="202"/>
    <n v="1"/>
    <n v="8.625"/>
    <x v="0"/>
    <n v="24.625"/>
  </r>
  <r>
    <x v="193"/>
    <m/>
    <m/>
    <x v="1"/>
    <x v="1"/>
    <s v="ALL"/>
    <x v="12"/>
    <x v="0"/>
    <m/>
    <m/>
    <x v="7"/>
    <x v="203"/>
    <n v="0"/>
    <n v="3.375"/>
    <x v="0"/>
    <n v="3.375"/>
  </r>
  <r>
    <x v="194"/>
    <m/>
    <m/>
    <x v="1"/>
    <x v="1"/>
    <s v="ALL"/>
    <x v="12"/>
    <x v="0"/>
    <m/>
    <s v="Blue Stuff Sack"/>
    <x v="3"/>
    <x v="204"/>
    <n v="0"/>
    <n v="2"/>
    <x v="0"/>
    <n v="2"/>
  </r>
  <r>
    <x v="195"/>
    <m/>
    <m/>
    <x v="1"/>
    <x v="1"/>
    <s v="ALL"/>
    <x v="12"/>
    <x v="0"/>
    <m/>
    <s v="Blue Stuff Sack"/>
    <x v="3"/>
    <x v="205"/>
    <n v="0"/>
    <n v="4"/>
    <x v="0"/>
    <n v="4"/>
  </r>
  <r>
    <x v="196"/>
    <m/>
    <m/>
    <x v="1"/>
    <x v="1"/>
    <s v="ALL"/>
    <x v="12"/>
    <x v="0"/>
    <m/>
    <s v="Blue Stuff Sack"/>
    <x v="3"/>
    <x v="206"/>
    <n v="0"/>
    <n v="3.125"/>
    <x v="0"/>
    <n v="3.125"/>
  </r>
  <r>
    <x v="197"/>
    <m/>
    <m/>
    <x v="1"/>
    <x v="1"/>
    <s v="ALL"/>
    <x v="12"/>
    <x v="0"/>
    <m/>
    <s v="Mess Kit"/>
    <x v="3"/>
    <x v="207"/>
    <n v="0"/>
    <n v="7"/>
    <x v="0"/>
    <n v="7"/>
  </r>
  <r>
    <x v="198"/>
    <m/>
    <m/>
    <x v="1"/>
    <x v="1"/>
    <s v="AT"/>
    <x v="12"/>
    <x v="0"/>
    <m/>
    <m/>
    <x v="10"/>
    <x v="208"/>
    <n v="0"/>
    <n v="1.25"/>
    <x v="0"/>
    <n v="1.25"/>
  </r>
  <r>
    <x v="199"/>
    <m/>
    <m/>
    <x v="1"/>
    <x v="1"/>
    <s v="AT"/>
    <x v="12"/>
    <x v="0"/>
    <m/>
    <m/>
    <x v="10"/>
    <x v="209"/>
    <n v="0"/>
    <n v="14.375"/>
    <x v="0"/>
    <n v="14.375"/>
  </r>
  <r>
    <x v="200"/>
    <m/>
    <m/>
    <x v="1"/>
    <x v="1"/>
    <s v="ALL"/>
    <x v="12"/>
    <x v="0"/>
    <m/>
    <m/>
    <x v="10"/>
    <x v="210"/>
    <n v="0"/>
    <n v="1.5"/>
    <x v="0"/>
    <n v="1.5"/>
  </r>
  <r>
    <x v="91"/>
    <m/>
    <m/>
    <x v="1"/>
    <x v="1"/>
    <s v="ALL"/>
    <x v="12"/>
    <x v="0"/>
    <m/>
    <m/>
    <x v="10"/>
    <x v="211"/>
    <n v="0"/>
    <n v="6.25"/>
    <x v="0"/>
    <n v="6.25"/>
  </r>
  <r>
    <x v="201"/>
    <m/>
    <m/>
    <x v="1"/>
    <x v="1"/>
    <s v="ALL"/>
    <x v="12"/>
    <x v="0"/>
    <m/>
    <m/>
    <x v="10"/>
    <x v="212"/>
    <n v="0"/>
    <n v="1.375"/>
    <x v="0"/>
    <n v="1.375"/>
  </r>
  <r>
    <x v="202"/>
    <m/>
    <m/>
    <x v="1"/>
    <x v="1"/>
    <s v="ALL"/>
    <x v="12"/>
    <x v="0"/>
    <m/>
    <m/>
    <x v="11"/>
    <x v="213"/>
    <n v="1"/>
    <n v="2.75"/>
    <x v="0"/>
    <n v="18.75"/>
  </r>
  <r>
    <x v="203"/>
    <m/>
    <m/>
    <x v="1"/>
    <x v="1"/>
    <s v="ALL"/>
    <x v="12"/>
    <x v="0"/>
    <m/>
    <m/>
    <x v="4"/>
    <x v="214"/>
    <n v="0"/>
    <n v="0.875"/>
    <x v="0"/>
    <n v="0.875"/>
  </r>
  <r>
    <x v="204"/>
    <m/>
    <m/>
    <x v="1"/>
    <x v="1"/>
    <s v="ALL"/>
    <x v="12"/>
    <x v="0"/>
    <m/>
    <m/>
    <x v="4"/>
    <x v="215"/>
    <n v="0"/>
    <n v="9.125"/>
    <x v="0"/>
    <n v="9.125"/>
  </r>
  <r>
    <x v="205"/>
    <m/>
    <m/>
    <x v="1"/>
    <x v="1"/>
    <s v="ALL"/>
    <x v="12"/>
    <x v="0"/>
    <m/>
    <m/>
    <x v="0"/>
    <x v="216"/>
    <n v="0"/>
    <n v="3"/>
    <x v="0"/>
    <n v="3"/>
  </r>
  <r>
    <x v="206"/>
    <m/>
    <m/>
    <x v="1"/>
    <x v="1"/>
    <s v="ALL"/>
    <x v="12"/>
    <x v="0"/>
    <m/>
    <m/>
    <x v="0"/>
    <x v="217"/>
    <n v="0"/>
    <n v="2.875"/>
    <x v="0"/>
    <n v="2.875"/>
  </r>
  <r>
    <x v="207"/>
    <m/>
    <m/>
    <x v="1"/>
    <x v="1"/>
    <s v="ALL"/>
    <x v="12"/>
    <x v="0"/>
    <m/>
    <m/>
    <x v="0"/>
    <x v="218"/>
    <n v="0"/>
    <n v="3.375"/>
    <x v="0"/>
    <n v="3.375"/>
  </r>
  <r>
    <x v="208"/>
    <m/>
    <m/>
    <x v="1"/>
    <x v="1"/>
    <s v="ALL"/>
    <x v="12"/>
    <x v="0"/>
    <m/>
    <m/>
    <x v="0"/>
    <x v="219"/>
    <n v="0"/>
    <n v="11.25"/>
    <x v="0"/>
    <n v="1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x v="0"/>
    <m/>
    <m/>
    <x v="0"/>
    <x v="0"/>
    <s v="ALL"/>
    <x v="0"/>
    <x v="0"/>
    <x v="0"/>
    <m/>
    <m/>
    <s v="Osprey Aether 70 Backpack"/>
    <n v="5"/>
    <n v="0.25"/>
    <n v="1"/>
    <n v="80.25"/>
  </r>
  <r>
    <x v="1"/>
    <m/>
    <m/>
    <x v="0"/>
    <x v="0"/>
    <s v="ALL"/>
    <x v="1"/>
    <x v="1"/>
    <x v="0"/>
    <m/>
    <m/>
    <m/>
    <n v="0"/>
    <n v="9.5"/>
    <n v="1"/>
    <n v="9.5"/>
  </r>
  <r>
    <x v="2"/>
    <m/>
    <m/>
    <x v="0"/>
    <x v="0"/>
    <s v="ALL"/>
    <x v="1"/>
    <x v="1"/>
    <x v="0"/>
    <m/>
    <m/>
    <m/>
    <n v="0"/>
    <n v="6.375"/>
    <n v="1"/>
    <n v="6.375"/>
  </r>
  <r>
    <x v="3"/>
    <m/>
    <m/>
    <x v="0"/>
    <x v="0"/>
    <s v="ALL"/>
    <x v="1"/>
    <x v="1"/>
    <x v="1"/>
    <m/>
    <m/>
    <s v="North Face Thermoball Jacket"/>
    <n v="0"/>
    <n v="11.375"/>
    <n v="1"/>
    <n v="11.375"/>
  </r>
  <r>
    <x v="4"/>
    <m/>
    <m/>
    <x v="0"/>
    <x v="0"/>
    <s v="ALL"/>
    <x v="1"/>
    <x v="1"/>
    <x v="0"/>
    <m/>
    <m/>
    <s v="VivoBarefoot Ultra Pure Amphibious Sneaker"/>
    <n v="1"/>
    <n v="0.875"/>
    <n v="1"/>
    <n v="16.875"/>
  </r>
  <r>
    <x v="5"/>
    <m/>
    <m/>
    <x v="0"/>
    <x v="0"/>
    <s v="ALL"/>
    <x v="1"/>
    <x v="2"/>
    <x v="1"/>
    <m/>
    <m/>
    <s v="Socks (gray, synthetic liner and Smartwool wool outer)"/>
    <n v="0"/>
    <n v="2.875"/>
    <n v="1"/>
    <n v="2.875"/>
  </r>
  <r>
    <x v="6"/>
    <m/>
    <m/>
    <x v="0"/>
    <x v="0"/>
    <s v="ALL"/>
    <x v="1"/>
    <x v="2"/>
    <x v="1"/>
    <m/>
    <m/>
    <s v="Socks (gray/blue, synthetic liner and Darn Tough wool outer)"/>
    <n v="0"/>
    <n v="3.5"/>
    <n v="1"/>
    <n v="3.5"/>
  </r>
  <r>
    <x v="7"/>
    <m/>
    <m/>
    <x v="0"/>
    <x v="0"/>
    <s v="ALL"/>
    <x v="1"/>
    <x v="2"/>
    <x v="1"/>
    <m/>
    <m/>
    <s v="Undewear (gray/blue, Champion)"/>
    <n v="0"/>
    <n v="2.625"/>
    <n v="1"/>
    <n v="2.625"/>
  </r>
  <r>
    <x v="7"/>
    <m/>
    <m/>
    <x v="0"/>
    <x v="0"/>
    <s v="ALL"/>
    <x v="1"/>
    <x v="2"/>
    <x v="1"/>
    <m/>
    <m/>
    <s v="Undewear (gray/blue, Champion)"/>
    <n v="0"/>
    <n v="2.625"/>
    <n v="1"/>
    <n v="2.625"/>
  </r>
  <r>
    <x v="8"/>
    <m/>
    <m/>
    <x v="0"/>
    <x v="0"/>
    <s v="ALL"/>
    <x v="1"/>
    <x v="3"/>
    <x v="1"/>
    <m/>
    <m/>
    <s v="Marmot Precip Rain Jacket"/>
    <n v="0"/>
    <n v="11.125"/>
    <n v="1"/>
    <n v="11.125"/>
  </r>
  <r>
    <x v="9"/>
    <m/>
    <m/>
    <x v="0"/>
    <x v="0"/>
    <s v="ALL"/>
    <x v="2"/>
    <x v="2"/>
    <x v="0"/>
    <m/>
    <m/>
    <s v="Cabela's Nylon Belt"/>
    <n v="0"/>
    <n v="3.375"/>
    <n v="1"/>
    <n v="3.375"/>
  </r>
  <r>
    <x v="10"/>
    <m/>
    <m/>
    <x v="0"/>
    <x v="0"/>
    <s v="JMT"/>
    <x v="2"/>
    <x v="2"/>
    <x v="0"/>
    <m/>
    <m/>
    <s v="Columbia Sun Hat"/>
    <n v="0"/>
    <n v="3"/>
    <n v="1"/>
    <n v="3"/>
  </r>
  <r>
    <x v="11"/>
    <m/>
    <m/>
    <x v="0"/>
    <x v="0"/>
    <s v="ALL"/>
    <x v="2"/>
    <x v="2"/>
    <x v="1"/>
    <m/>
    <m/>
    <s v="KUHL Renegade Convertible Pants  "/>
    <n v="1"/>
    <n v="0.125"/>
    <n v="1"/>
    <n v="16.125"/>
  </r>
  <r>
    <x v="12"/>
    <m/>
    <m/>
    <x v="0"/>
    <x v="0"/>
    <s v="JMT"/>
    <x v="2"/>
    <x v="2"/>
    <x v="1"/>
    <m/>
    <m/>
    <s v="ExOfficio Long Sleeve Shirt"/>
    <n v="0"/>
    <n v="8.5"/>
    <n v="1"/>
    <n v="8.5"/>
  </r>
  <r>
    <x v="13"/>
    <m/>
    <m/>
    <x v="0"/>
    <x v="0"/>
    <s v="ALL"/>
    <x v="2"/>
    <x v="2"/>
    <x v="1"/>
    <m/>
    <m/>
    <s v="Socks (gray/blue/green stripe, synthetic liner and Smartwool wool outer)"/>
    <n v="0"/>
    <n v="3.5"/>
    <n v="1"/>
    <n v="3.5"/>
  </r>
  <r>
    <x v="14"/>
    <m/>
    <m/>
    <x v="0"/>
    <x v="0"/>
    <s v="JMT"/>
    <x v="2"/>
    <x v="2"/>
    <x v="0"/>
    <m/>
    <m/>
    <s v="Duco Unisex Wear Over Prescription Sunglasses (and case)"/>
    <n v="0"/>
    <n v="2.875"/>
    <n v="1"/>
    <n v="2.875"/>
  </r>
  <r>
    <x v="15"/>
    <m/>
    <m/>
    <x v="0"/>
    <x v="0"/>
    <s v="ALL"/>
    <x v="2"/>
    <x v="2"/>
    <x v="1"/>
    <m/>
    <m/>
    <s v="Underwear (black/red, ExOfficio)"/>
    <n v="0"/>
    <n v="2.375"/>
    <n v="1"/>
    <n v="2.375"/>
  </r>
  <r>
    <x v="16"/>
    <m/>
    <m/>
    <x v="0"/>
    <x v="0"/>
    <s v="JMT"/>
    <x v="2"/>
    <x v="3"/>
    <x v="2"/>
    <m/>
    <m/>
    <s v="Outdoor Research Active Ice Sun Gloves"/>
    <n v="0"/>
    <n v="0.625"/>
    <n v="1"/>
    <n v="0.625"/>
  </r>
  <r>
    <x v="17"/>
    <m/>
    <m/>
    <x v="0"/>
    <x v="0"/>
    <s v="ALL"/>
    <x v="3"/>
    <x v="0"/>
    <x v="0"/>
    <m/>
    <s v="Main Compartment"/>
    <s v="Various Food Items"/>
    <n v="22"/>
    <n v="0"/>
    <n v="1"/>
    <n v="352"/>
  </r>
  <r>
    <x v="18"/>
    <m/>
    <m/>
    <x v="0"/>
    <x v="0"/>
    <s v="ALL"/>
    <x v="3"/>
    <x v="0"/>
    <x v="0"/>
    <m/>
    <s v="Main Compartment"/>
    <s v="MSR® ISOPRO™ Fuel (8oz)"/>
    <n v="0"/>
    <n v="13.375"/>
    <n v="1"/>
    <n v="13.375"/>
  </r>
  <r>
    <x v="19"/>
    <m/>
    <m/>
    <x v="0"/>
    <x v="0"/>
    <s v="ALL"/>
    <x v="3"/>
    <x v="0"/>
    <x v="0"/>
    <m/>
    <m/>
    <s v="Water 2L"/>
    <n v="2"/>
    <n v="3.2800000000000002"/>
    <n v="2"/>
    <n v="70.56"/>
  </r>
  <r>
    <x v="20"/>
    <m/>
    <m/>
    <x v="0"/>
    <x v="0"/>
    <s v="ALL"/>
    <x v="4"/>
    <x v="3"/>
    <x v="0"/>
    <m/>
    <m/>
    <s v="Keen Cascade Hiking Boot"/>
    <n v="3"/>
    <n v="9.25"/>
    <n v="1"/>
    <n v="57.25"/>
  </r>
  <r>
    <x v="21"/>
    <m/>
    <m/>
    <x v="0"/>
    <x v="0"/>
    <s v="ALL"/>
    <x v="4"/>
    <x v="3"/>
    <x v="0"/>
    <m/>
    <m/>
    <s v="Black Diamond Aluminum Trekking Poles"/>
    <n v="1"/>
    <n v="3.375"/>
    <n v="1"/>
    <n v="19.375"/>
  </r>
  <r>
    <x v="22"/>
    <m/>
    <m/>
    <x v="0"/>
    <x v="0"/>
    <s v="JMT"/>
    <x v="5"/>
    <x v="0"/>
    <x v="0"/>
    <m/>
    <m/>
    <s v="Abreva"/>
    <n v="0"/>
    <n v="0.125"/>
    <n v="1"/>
    <n v="0.125"/>
  </r>
  <r>
    <x v="23"/>
    <m/>
    <m/>
    <x v="0"/>
    <x v="0"/>
    <s v="JMT"/>
    <x v="5"/>
    <x v="0"/>
    <x v="0"/>
    <m/>
    <m/>
    <s v="Saline Nasal Spray"/>
    <n v="0"/>
    <n v="3.875"/>
    <n v="1"/>
    <n v="3.875"/>
  </r>
  <r>
    <x v="24"/>
    <m/>
    <m/>
    <x v="0"/>
    <x v="0"/>
    <s v="JMT"/>
    <x v="5"/>
    <x v="0"/>
    <x v="0"/>
    <m/>
    <m/>
    <s v="Joshua Tree Hiker's Salve"/>
    <n v="0"/>
    <n v="0.625"/>
    <n v="1"/>
    <n v="0.625"/>
  </r>
  <r>
    <x v="25"/>
    <m/>
    <m/>
    <x v="0"/>
    <x v="0"/>
    <s v="ALL"/>
    <x v="5"/>
    <x v="0"/>
    <x v="0"/>
    <m/>
    <m/>
    <s v="In Loksak - Salt Packet, 4 Antiseptic Alcohol Pads, 6 Antibiotic Ointment, 5 - 1&quot; x 3&quot; Bandages, 5 - 3/8&quot; x 1 1/2&quot; Bandages, 2&quot; x 3&quot; Elastic Patch Bandage, 3&quot; x 3&quot; Sterile Gauze Pad, 1 - 4&quot; Adhesive Strips, Moleskin, 2 Safety Pins, Wound Closure Tape, 2nd Skin Blister Pads (7), 7/8x1 5/8 Hyrocolloid Bandages (5), Benadryl Tabs (3), Immodium Tabs (6), Sierogan TOI A Tablets (4), Celtic Sea Salt Packet, Zantac 150 Tablets (16), Firestarter Sticks (7), Duct Tape Nuggets (2), Corn Cushions, Matches, FireLite Sparker, emergency blanket (1-person)"/>
    <n v="0"/>
    <n v="8.125"/>
    <n v="1"/>
    <n v="8.125"/>
  </r>
  <r>
    <x v="26"/>
    <m/>
    <m/>
    <x v="0"/>
    <x v="0"/>
    <s v="ALL"/>
    <x v="6"/>
    <x v="3"/>
    <x v="2"/>
    <m/>
    <m/>
    <s v="Sea to Summit Head Net"/>
    <n v="0"/>
    <n v="0.875"/>
    <n v="1"/>
    <n v="0.875"/>
  </r>
  <r>
    <x v="27"/>
    <m/>
    <m/>
    <x v="0"/>
    <x v="0"/>
    <s v="ALL"/>
    <x v="6"/>
    <x v="0"/>
    <x v="0"/>
    <m/>
    <m/>
    <s v="Jeff’s Gear Hammock/Pack Cover (in carry pouch)"/>
    <n v="0"/>
    <n v="3.625"/>
    <n v="1"/>
    <n v="3.625"/>
  </r>
  <r>
    <x v="28"/>
    <m/>
    <m/>
    <x v="0"/>
    <x v="0"/>
    <s v="ALL"/>
    <x v="6"/>
    <x v="0"/>
    <x v="0"/>
    <m/>
    <s v="Attached to Pack"/>
    <s v="Bandana (multi-purpose)"/>
    <n v="0"/>
    <n v="1.125"/>
    <n v="1"/>
    <n v="1.125"/>
  </r>
  <r>
    <x v="29"/>
    <m/>
    <m/>
    <x v="0"/>
    <x v="0"/>
    <s v="ALL"/>
    <x v="6"/>
    <x v="0"/>
    <x v="0"/>
    <m/>
    <s v="Attached to Pack"/>
    <s v="Bandana (multi-purpose)"/>
    <n v="0"/>
    <n v="1.125"/>
    <n v="1"/>
    <n v="1.125"/>
  </r>
  <r>
    <x v="30"/>
    <m/>
    <m/>
    <x v="0"/>
    <x v="0"/>
    <s v="JMT"/>
    <x v="6"/>
    <x v="0"/>
    <x v="0"/>
    <m/>
    <m/>
    <s v="Wild Ideas Bearikade Expedition Bear Cansiter"/>
    <n v="2"/>
    <n v="5.375"/>
    <n v="1"/>
    <n v="37.375"/>
  </r>
  <r>
    <x v="31"/>
    <m/>
    <m/>
    <x v="0"/>
    <x v="0"/>
    <s v="ALL"/>
    <x v="6"/>
    <x v="0"/>
    <x v="0"/>
    <m/>
    <s v="Attached to Pack"/>
    <s v="The Tent Lab Deuce of Spades Potty Trowel"/>
    <n v="0"/>
    <n v="0.5"/>
    <n v="1"/>
    <n v="0.5"/>
  </r>
  <r>
    <x v="32"/>
    <m/>
    <m/>
    <x v="0"/>
    <x v="0"/>
    <s v="ALL"/>
    <x v="6"/>
    <x v="0"/>
    <x v="0"/>
    <m/>
    <m/>
    <s v="Sea to Summit Ultralight Dry Sack (13L, blue) for Camp Clothes"/>
    <n v="0"/>
    <n v="2.25"/>
    <n v="1"/>
    <n v="2.25"/>
  </r>
  <r>
    <x v="32"/>
    <m/>
    <m/>
    <x v="0"/>
    <x v="0"/>
    <s v="ALL"/>
    <x v="6"/>
    <x v="0"/>
    <x v="0"/>
    <m/>
    <m/>
    <s v="Sea to Summit ultralight Dry Sack (13L, Yellow) for Sleeping Bag"/>
    <n v="0"/>
    <n v="2.375"/>
    <n v="1"/>
    <n v="2.375"/>
  </r>
  <r>
    <x v="33"/>
    <m/>
    <m/>
    <x v="0"/>
    <x v="0"/>
    <s v="ALL"/>
    <x v="6"/>
    <x v="0"/>
    <x v="0"/>
    <m/>
    <m/>
    <s v="Homemade Food Cozy"/>
    <n v="0"/>
    <n v="2.125"/>
    <n v="1"/>
    <n v="2.125"/>
  </r>
  <r>
    <x v="34"/>
    <m/>
    <m/>
    <x v="0"/>
    <x v="0"/>
    <s v="ALL"/>
    <x v="6"/>
    <x v="0"/>
    <x v="0"/>
    <m/>
    <m/>
    <s v="Black Diamond Storm Headlamp (w/ 4 AAA Batteries)"/>
    <n v="0"/>
    <n v="3.5"/>
    <n v="1"/>
    <n v="3.5"/>
  </r>
  <r>
    <x v="35"/>
    <m/>
    <m/>
    <x v="0"/>
    <x v="0"/>
    <s v="ALL"/>
    <x v="6"/>
    <x v="0"/>
    <x v="0"/>
    <m/>
    <s v="Pack Pocket"/>
    <s v="iPhone 7 (in loksak)"/>
    <n v="0"/>
    <n v="6.125"/>
    <n v="1"/>
    <n v="6.125"/>
  </r>
  <r>
    <x v="36"/>
    <m/>
    <m/>
    <x v="0"/>
    <x v="0"/>
    <s v="ALL"/>
    <x v="6"/>
    <x v="0"/>
    <x v="0"/>
    <m/>
    <s v="Main Compartment"/>
    <s v="Sea to Summit Mesh Stuff Sack (M)"/>
    <n v="0"/>
    <n v="1.625"/>
    <n v="1"/>
    <n v="1.625"/>
  </r>
  <r>
    <x v="37"/>
    <m/>
    <m/>
    <x v="0"/>
    <x v="0"/>
    <s v="ALL"/>
    <x v="6"/>
    <x v="0"/>
    <x v="0"/>
    <m/>
    <s v="Main Compartment"/>
    <s v="LokSak OpSak Odor Proof Food Bag (for garbage)"/>
    <n v="0"/>
    <n v="1.5"/>
    <n v="1"/>
    <n v="1.5"/>
  </r>
  <r>
    <x v="38"/>
    <m/>
    <m/>
    <x v="0"/>
    <x v="0"/>
    <s v="ALL"/>
    <x v="7"/>
    <x v="0"/>
    <x v="0"/>
    <m/>
    <m/>
    <s v="Aquaphor"/>
    <n v="0"/>
    <n v="0.5"/>
    <n v="1"/>
    <n v="0.5"/>
  </r>
  <r>
    <x v="39"/>
    <m/>
    <m/>
    <x v="0"/>
    <x v="0"/>
    <s v="ALL"/>
    <x v="7"/>
    <x v="0"/>
    <x v="0"/>
    <m/>
    <m/>
    <s v="Dental Floss"/>
    <n v="0"/>
    <n v="0.5"/>
    <n v="1"/>
    <n v="0.5"/>
  </r>
  <r>
    <x v="40"/>
    <m/>
    <m/>
    <x v="0"/>
    <x v="0"/>
    <s v="ALL"/>
    <x v="7"/>
    <x v="0"/>
    <x v="0"/>
    <m/>
    <m/>
    <s v="Hand Sanitizer"/>
    <n v="0"/>
    <n v="2.25"/>
    <n v="1"/>
    <n v="2.25"/>
  </r>
  <r>
    <x v="41"/>
    <m/>
    <m/>
    <x v="0"/>
    <x v="0"/>
    <s v="ALL"/>
    <x v="7"/>
    <x v="0"/>
    <x v="0"/>
    <m/>
    <m/>
    <s v="Dr. Bronner's Magic Soap"/>
    <n v="0"/>
    <n v="2.625"/>
    <n v="1"/>
    <n v="2.625"/>
  </r>
  <r>
    <x v="42"/>
    <m/>
    <m/>
    <x v="0"/>
    <x v="0"/>
    <s v="JMT"/>
    <x v="7"/>
    <x v="0"/>
    <x v="0"/>
    <m/>
    <s v="Hip Belt"/>
    <s v="Banana Boat Sport Performance SPF50 Sunscreen Lip Balm"/>
    <n v="0"/>
    <n v="0.25"/>
    <n v="1"/>
    <n v="0.25"/>
  </r>
  <r>
    <x v="43"/>
    <m/>
    <m/>
    <x v="0"/>
    <x v="0"/>
    <s v="ALL"/>
    <x v="7"/>
    <x v="0"/>
    <x v="0"/>
    <m/>
    <m/>
    <s v="Toilet Paper (in baggie)"/>
    <n v="0"/>
    <n v="9.375"/>
    <n v="1"/>
    <n v="9.375"/>
  </r>
  <r>
    <x v="44"/>
    <m/>
    <m/>
    <x v="0"/>
    <x v="0"/>
    <s v="ALL"/>
    <x v="7"/>
    <x v="0"/>
    <x v="0"/>
    <m/>
    <m/>
    <s v="Toothbrush"/>
    <n v="0"/>
    <n v="0.625"/>
    <n v="1"/>
    <n v="0.625"/>
  </r>
  <r>
    <x v="45"/>
    <m/>
    <m/>
    <x v="0"/>
    <x v="0"/>
    <s v="ALL"/>
    <x v="7"/>
    <x v="0"/>
    <x v="0"/>
    <m/>
    <m/>
    <s v="Toothpaste"/>
    <n v="0"/>
    <n v="1.125"/>
    <n v="1"/>
    <n v="1.125"/>
  </r>
  <r>
    <x v="46"/>
    <m/>
    <m/>
    <x v="0"/>
    <x v="0"/>
    <s v="ALL"/>
    <x v="7"/>
    <x v="0"/>
    <x v="0"/>
    <m/>
    <m/>
    <s v="REI Mini MultiTowel"/>
    <n v="0"/>
    <n v="0.5"/>
    <n v="1"/>
    <n v="0.5"/>
  </r>
  <r>
    <x v="47"/>
    <m/>
    <m/>
    <x v="0"/>
    <x v="0"/>
    <s v="ALL"/>
    <x v="7"/>
    <x v="0"/>
    <x v="0"/>
    <m/>
    <m/>
    <s v="Wysi Wipe Multi-Purpose Wipes (in Loksak)"/>
    <n v="0"/>
    <n v="5.625"/>
    <n v="1"/>
    <n v="5.625"/>
  </r>
  <r>
    <x v="48"/>
    <m/>
    <m/>
    <x v="0"/>
    <x v="0"/>
    <s v="ALL"/>
    <x v="8"/>
    <x v="0"/>
    <x v="2"/>
    <m/>
    <m/>
    <s v="Coleman Botanicals Insect Repellent (in ziploc)"/>
    <n v="0"/>
    <n v="4.875"/>
    <n v="1"/>
    <n v="4.875"/>
  </r>
  <r>
    <x v="49"/>
    <m/>
    <m/>
    <x v="0"/>
    <x v="0"/>
    <s v="ALL"/>
    <x v="8"/>
    <x v="0"/>
    <x v="0"/>
    <m/>
    <m/>
    <s v="Sea to Summit Alloy Buckle Accessory Straps (3ft)"/>
    <n v="0"/>
    <n v="0.5"/>
    <n v="1"/>
    <n v="0.5"/>
  </r>
  <r>
    <x v="50"/>
    <m/>
    <m/>
    <x v="0"/>
    <x v="0"/>
    <s v="ALL"/>
    <x v="8"/>
    <x v="0"/>
    <x v="0"/>
    <m/>
    <m/>
    <s v="Baby Airline Stroller Carry Case for Backpack to Fly"/>
    <n v="0"/>
    <n v="9.25"/>
    <n v="0"/>
    <n v="0"/>
  </r>
  <r>
    <x v="51"/>
    <m/>
    <m/>
    <x v="0"/>
    <x v="0"/>
    <s v="ALL"/>
    <x v="8"/>
    <x v="0"/>
    <x v="0"/>
    <m/>
    <s v="Attached to Pack"/>
    <s v="Therm-a-Rest Z-Seat Pad"/>
    <n v="0"/>
    <n v="2"/>
    <n v="1"/>
    <n v="2"/>
  </r>
  <r>
    <x v="52"/>
    <m/>
    <m/>
    <x v="0"/>
    <x v="0"/>
    <s v="ALL"/>
    <x v="8"/>
    <x v="0"/>
    <x v="0"/>
    <m/>
    <m/>
    <s v="Plastic Spoon/Fork"/>
    <n v="0"/>
    <n v="0.5"/>
    <n v="1"/>
    <n v="0.5"/>
  </r>
  <r>
    <x v="53"/>
    <m/>
    <m/>
    <x v="0"/>
    <x v="0"/>
    <s v="ALL"/>
    <x v="9"/>
    <x v="0"/>
    <x v="0"/>
    <m/>
    <m/>
    <s v="REI Stuff Sack Pillow"/>
    <n v="0"/>
    <n v="1.125"/>
    <n v="1"/>
    <n v="1.125"/>
  </r>
  <r>
    <x v="54"/>
    <m/>
    <m/>
    <x v="0"/>
    <x v="0"/>
    <s v="ALL"/>
    <x v="9"/>
    <x v="0"/>
    <x v="0"/>
    <m/>
    <m/>
    <s v="Sleeping Bag"/>
    <n v="2"/>
    <n v="9.375"/>
    <n v="1"/>
    <n v="41.375"/>
  </r>
  <r>
    <x v="55"/>
    <m/>
    <m/>
    <x v="0"/>
    <x v="0"/>
    <s v="ALL"/>
    <x v="9"/>
    <x v="0"/>
    <x v="3"/>
    <m/>
    <m/>
    <s v="Sea to Summit Thermolite Reactor Extreme Mummy Bag Liner"/>
    <n v="0"/>
    <n v="14.25"/>
    <n v="1"/>
    <n v="14.25"/>
  </r>
  <r>
    <x v="56"/>
    <m/>
    <m/>
    <x v="0"/>
    <x v="0"/>
    <s v="ALL"/>
    <x v="9"/>
    <x v="0"/>
    <x v="0"/>
    <m/>
    <m/>
    <s v="Therm-a-Rest NeoAir XLite Sleeping Pad "/>
    <n v="1"/>
    <n v="1.625"/>
    <n v="1"/>
    <n v="17.625"/>
  </r>
  <r>
    <x v="57"/>
    <m/>
    <m/>
    <x v="0"/>
    <x v="0"/>
    <s v="ALL"/>
    <x v="9"/>
    <x v="0"/>
    <x v="0"/>
    <m/>
    <m/>
    <s v="Big Agnes Copper Spur 3-person Tent (in Sea to Summit Big River Dry Bag 13L)"/>
    <n v="3"/>
    <n v="8.25"/>
    <n v="1"/>
    <n v="56.25"/>
  </r>
  <r>
    <x v="58"/>
    <m/>
    <m/>
    <x v="0"/>
    <x v="0"/>
    <s v="ALL"/>
    <x v="9"/>
    <x v="0"/>
    <x v="0"/>
    <m/>
    <m/>
    <s v="Tent poles and stakes"/>
    <n v="1"/>
    <n v="4.375"/>
    <n v="1"/>
    <n v="20.375"/>
  </r>
  <r>
    <x v="59"/>
    <m/>
    <m/>
    <x v="0"/>
    <x v="0"/>
    <s v="ALL"/>
    <x v="10"/>
    <x v="0"/>
    <x v="0"/>
    <m/>
    <m/>
    <s v="Deuter Pouch (for water filtration kit)"/>
    <n v="0"/>
    <n v="3.875"/>
    <n v="1"/>
    <n v="3.875"/>
  </r>
  <r>
    <x v="60"/>
    <m/>
    <m/>
    <x v="0"/>
    <x v="0"/>
    <s v="ALL"/>
    <x v="10"/>
    <x v="0"/>
    <x v="0"/>
    <m/>
    <m/>
    <s v="550 Paracord Bracelet"/>
    <n v="0"/>
    <n v="1"/>
    <n v="1"/>
    <n v="1"/>
  </r>
  <r>
    <x v="61"/>
    <m/>
    <m/>
    <x v="0"/>
    <x v="0"/>
    <s v="ALL"/>
    <x v="10"/>
    <x v="0"/>
    <x v="0"/>
    <m/>
    <m/>
    <s v="Benchmade 556 Griptilian Non-Serrated Locking Knife"/>
    <n v="0"/>
    <n v="3.875"/>
    <n v="1"/>
    <n v="3.875"/>
  </r>
  <r>
    <x v="62"/>
    <m/>
    <m/>
    <x v="0"/>
    <x v="0"/>
    <s v="ALL"/>
    <x v="10"/>
    <x v="0"/>
    <x v="0"/>
    <m/>
    <m/>
    <s v="Nalgene Wide Mouth HDPE Bottle - 32 fl. oz. "/>
    <n v="0"/>
    <n v="0"/>
    <n v="1"/>
    <n v="0"/>
  </r>
  <r>
    <x v="63"/>
    <m/>
    <m/>
    <x v="0"/>
    <x v="0"/>
    <s v="ALL"/>
    <x v="10"/>
    <x v="0"/>
    <x v="0"/>
    <m/>
    <m/>
    <s v="Platypus plusBottle 2-Liter Water Bottle with homemade handle"/>
    <n v="0"/>
    <n v="1.375"/>
    <n v="1"/>
    <n v="1.375"/>
  </r>
  <r>
    <x v="64"/>
    <m/>
    <m/>
    <x v="0"/>
    <x v="0"/>
    <s v="ALL"/>
    <x v="10"/>
    <x v="0"/>
    <x v="0"/>
    <m/>
    <m/>
    <s v="Smart Water Bottle 1-Liter"/>
    <n v="0"/>
    <n v="0"/>
    <n v="1"/>
    <n v="0"/>
  </r>
  <r>
    <x v="65"/>
    <m/>
    <m/>
    <x v="0"/>
    <x v="0"/>
    <s v="ALL"/>
    <x v="10"/>
    <x v="0"/>
    <x v="0"/>
    <m/>
    <m/>
    <s v="Sawyer Water Filtration System (mini, 1 Gallon Gravity Bag, 2ft attachment hose, caps) in mesh bag"/>
    <n v="0"/>
    <n v="8.875"/>
    <n v="1"/>
    <n v="8.875"/>
  </r>
  <r>
    <x v="66"/>
    <m/>
    <m/>
    <x v="0"/>
    <x v="1"/>
    <s v="ALL"/>
    <x v="4"/>
    <x v="0"/>
    <x v="0"/>
    <m/>
    <m/>
    <s v="Black Diamond Trekking Pole Tip (spare)"/>
    <n v="0"/>
    <n v="0.375"/>
    <n v="1"/>
    <n v="0.375"/>
  </r>
  <r>
    <x v="67"/>
    <m/>
    <m/>
    <x v="0"/>
    <x v="1"/>
    <s v="ALL"/>
    <x v="6"/>
    <x v="0"/>
    <x v="0"/>
    <m/>
    <m/>
    <s v="Sea to Summit X-Mug Silicone Collapsibe Mug"/>
    <n v="0"/>
    <n v="2.375"/>
    <n v="1"/>
    <n v="2.375"/>
  </r>
  <r>
    <x v="68"/>
    <m/>
    <m/>
    <x v="0"/>
    <x v="1"/>
    <s v="ALL"/>
    <x v="11"/>
    <x v="0"/>
    <x v="0"/>
    <m/>
    <m/>
    <s v="Don't Die Out There Playing Cards"/>
    <n v="0"/>
    <n v="4"/>
    <n v="1"/>
    <n v="4"/>
  </r>
  <r>
    <x v="69"/>
    <m/>
    <m/>
    <x v="1"/>
    <x v="0"/>
    <s v="JMT"/>
    <x v="4"/>
    <x v="3"/>
    <x v="3"/>
    <m/>
    <m/>
    <s v="Camp Crampons (in carry case)"/>
    <n v="2"/>
    <n v="5"/>
    <n v="1"/>
    <n v="37"/>
  </r>
  <r>
    <x v="70"/>
    <m/>
    <s v="x"/>
    <x v="1"/>
    <x v="0"/>
    <s v="JMT"/>
    <x v="4"/>
    <x v="3"/>
    <x v="3"/>
    <m/>
    <m/>
    <s v="Kahtoola MICROspikes® footwear traction (in carry case)"/>
    <n v="0"/>
    <n v="14"/>
    <n v="1"/>
    <n v="14"/>
  </r>
  <r>
    <x v="71"/>
    <m/>
    <m/>
    <x v="1"/>
    <x v="0"/>
    <s v="ALL"/>
    <x v="10"/>
    <x v="0"/>
    <x v="0"/>
    <m/>
    <m/>
    <s v="JetBoil Solo"/>
    <n v="0"/>
    <n v="12.125"/>
    <n v="1"/>
    <n v="12.125"/>
  </r>
  <r>
    <x v="11"/>
    <m/>
    <m/>
    <x v="1"/>
    <x v="1"/>
    <s v="ALL"/>
    <x v="2"/>
    <x v="2"/>
    <x v="1"/>
    <m/>
    <m/>
    <s v="ExOfficio Convertible Hiking Pants (brown)"/>
    <n v="0"/>
    <n v="11.5"/>
    <n v="1"/>
    <n v="1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443DE89-75ED-0149-BDB3-C330FB4EEC5B}" name="PivotTable1" cacheId="65"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showHeaders="0" outline="1" outlineData="1" multipleFieldFilters="0">
  <location ref="E4:E194" firstHeaderRow="0" firstDataRow="0" firstDataCol="1"/>
  <pivotFields count="3">
    <pivotField axis="axisRow" showAll="0" defaultSubtotal="0">
      <items count="21">
        <item x="18"/>
        <item x="14"/>
        <item x="3"/>
        <item x="4"/>
        <item x="5"/>
        <item x="7"/>
        <item x="20"/>
        <item x="19"/>
        <item x="9"/>
        <item x="11"/>
        <item x="0"/>
        <item x="1"/>
        <item x="15"/>
        <item x="6"/>
        <item x="8"/>
        <item x="13"/>
        <item x="16"/>
        <item x="12"/>
        <item x="10"/>
        <item x="2"/>
        <item x="17"/>
      </items>
    </pivotField>
    <pivotField axis="axisRow" showAll="0">
      <items count="6">
        <item x="0"/>
        <item x="1"/>
        <item x="2"/>
        <item x="3"/>
        <item x="4"/>
        <item t="default"/>
      </items>
    </pivotField>
    <pivotField axis="axisRow" showAll="0">
      <items count="43">
        <item x="12"/>
        <item x="9"/>
        <item x="28"/>
        <item x="32"/>
        <item x="1"/>
        <item x="4"/>
        <item x="14"/>
        <item x="18"/>
        <item x="17"/>
        <item x="3"/>
        <item x="40"/>
        <item x="36"/>
        <item x="26"/>
        <item x="24"/>
        <item x="37"/>
        <item x="7"/>
        <item x="10"/>
        <item x="19"/>
        <item x="39"/>
        <item x="35"/>
        <item x="0"/>
        <item x="31"/>
        <item x="8"/>
        <item x="23"/>
        <item x="38"/>
        <item x="41"/>
        <item x="30"/>
        <item x="20"/>
        <item x="13"/>
        <item x="6"/>
        <item x="16"/>
        <item x="11"/>
        <item x="2"/>
        <item x="5"/>
        <item x="15"/>
        <item x="29"/>
        <item x="27"/>
        <item x="21"/>
        <item x="22"/>
        <item x="33"/>
        <item x="34"/>
        <item x="25"/>
        <item t="default"/>
      </items>
    </pivotField>
  </pivotFields>
  <rowFields count="3">
    <field x="0"/>
    <field x="1"/>
    <field x="2"/>
  </rowFields>
  <rowItems count="191">
    <i>
      <x/>
    </i>
    <i r="1">
      <x/>
    </i>
    <i r="2">
      <x v="21"/>
    </i>
    <i r="1">
      <x v="1"/>
    </i>
    <i r="2">
      <x v="3"/>
    </i>
    <i r="1">
      <x v="2"/>
    </i>
    <i r="2">
      <x v="39"/>
    </i>
    <i r="1">
      <x v="3"/>
    </i>
    <i r="2">
      <x v="40"/>
    </i>
    <i>
      <x v="1"/>
    </i>
    <i r="1">
      <x/>
    </i>
    <i r="2">
      <x v="20"/>
    </i>
    <i r="1">
      <x v="1"/>
    </i>
    <i r="2">
      <x v="8"/>
    </i>
    <i r="1">
      <x v="2"/>
    </i>
    <i r="2">
      <x v="34"/>
    </i>
    <i r="1">
      <x v="3"/>
    </i>
    <i r="2">
      <x v="30"/>
    </i>
    <i>
      <x v="2"/>
    </i>
    <i r="1">
      <x/>
    </i>
    <i r="2">
      <x v="22"/>
    </i>
    <i r="1">
      <x v="1"/>
    </i>
    <i r="2">
      <x v="1"/>
    </i>
    <i r="1">
      <x v="2"/>
    </i>
    <i r="2">
      <x v="16"/>
    </i>
    <i r="1">
      <x v="3"/>
    </i>
    <i r="2">
      <x v="31"/>
    </i>
    <i>
      <x v="3"/>
    </i>
    <i r="1">
      <x/>
    </i>
    <i r="2">
      <x v="20"/>
    </i>
    <i r="1">
      <x v="1"/>
    </i>
    <i r="2">
      <x/>
    </i>
    <i r="1">
      <x v="2"/>
    </i>
    <i r="2">
      <x v="28"/>
    </i>
    <i r="1">
      <x v="3"/>
    </i>
    <i r="2">
      <x v="29"/>
    </i>
    <i>
      <x v="4"/>
    </i>
    <i r="1">
      <x/>
    </i>
    <i r="2">
      <x v="20"/>
    </i>
    <i r="1">
      <x v="1"/>
    </i>
    <i r="2">
      <x v="6"/>
    </i>
    <i r="1">
      <x v="2"/>
    </i>
    <i r="2">
      <x v="34"/>
    </i>
    <i r="1">
      <x v="3"/>
    </i>
    <i r="2">
      <x v="30"/>
    </i>
    <i>
      <x v="5"/>
    </i>
    <i r="1">
      <x/>
    </i>
    <i r="2">
      <x v="20"/>
    </i>
    <i r="1">
      <x v="1"/>
    </i>
    <i r="2">
      <x v="8"/>
    </i>
    <i r="1">
      <x v="2"/>
    </i>
    <i r="2">
      <x v="28"/>
    </i>
    <i r="1">
      <x v="3"/>
    </i>
    <i r="2">
      <x v="29"/>
    </i>
    <i>
      <x v="6"/>
    </i>
    <i r="1">
      <x/>
    </i>
    <i r="2">
      <x v="18"/>
    </i>
    <i r="1">
      <x v="1"/>
    </i>
    <i r="2">
      <x v="10"/>
    </i>
    <i r="1">
      <x v="2"/>
    </i>
    <i r="2">
      <x v="14"/>
    </i>
    <i r="1">
      <x v="3"/>
    </i>
    <i r="2">
      <x v="25"/>
    </i>
    <i>
      <x v="7"/>
    </i>
    <i r="1">
      <x/>
    </i>
    <i r="2">
      <x v="19"/>
    </i>
    <i r="1">
      <x v="1"/>
    </i>
    <i r="2">
      <x v="11"/>
    </i>
    <i r="1">
      <x v="2"/>
    </i>
    <i r="2">
      <x v="14"/>
    </i>
    <i r="1">
      <x v="3"/>
    </i>
    <i r="2">
      <x v="24"/>
    </i>
    <i>
      <x v="8"/>
    </i>
    <i r="1">
      <x/>
    </i>
    <i r="2">
      <x v="20"/>
    </i>
    <i r="1">
      <x v="1"/>
    </i>
    <i r="2">
      <x v="17"/>
    </i>
    <i r="1">
      <x v="2"/>
    </i>
    <i r="2">
      <x v="8"/>
    </i>
    <i r="1">
      <x v="3"/>
    </i>
    <i r="2">
      <x v="27"/>
    </i>
    <i r="1">
      <x v="4"/>
    </i>
    <i r="2">
      <x v="30"/>
    </i>
    <i>
      <x v="9"/>
    </i>
    <i r="1">
      <x/>
    </i>
    <i r="2">
      <x v="20"/>
    </i>
    <i r="1">
      <x v="1"/>
    </i>
    <i r="2">
      <x v="8"/>
    </i>
    <i r="1">
      <x v="2"/>
    </i>
    <i r="2">
      <x v="38"/>
    </i>
    <i r="1">
      <x v="3"/>
    </i>
    <i r="2">
      <x v="30"/>
    </i>
    <i>
      <x v="10"/>
    </i>
    <i r="1">
      <x/>
    </i>
    <i r="2">
      <x v="20"/>
    </i>
    <i r="1">
      <x v="1"/>
    </i>
    <i r="2">
      <x v="4"/>
    </i>
    <i r="1">
      <x v="2"/>
    </i>
    <i r="2">
      <x v="32"/>
    </i>
    <i>
      <x v="11"/>
    </i>
    <i r="1">
      <x/>
    </i>
    <i r="2">
      <x v="20"/>
    </i>
    <i r="1">
      <x v="1"/>
    </i>
    <i r="2">
      <x v="9"/>
    </i>
    <i r="1">
      <x v="2"/>
    </i>
    <i r="2">
      <x v="32"/>
    </i>
    <i>
      <x v="12"/>
    </i>
    <i r="1">
      <x/>
    </i>
    <i r="2">
      <x v="20"/>
    </i>
    <i r="1">
      <x v="1"/>
    </i>
    <i r="2">
      <x v="2"/>
    </i>
    <i r="1">
      <x v="2"/>
    </i>
    <i r="2">
      <x v="35"/>
    </i>
    <i r="1">
      <x v="3"/>
    </i>
    <i r="2">
      <x v="30"/>
    </i>
    <i>
      <x v="13"/>
    </i>
    <i r="1">
      <x/>
    </i>
    <i r="2">
      <x v="20"/>
    </i>
    <i r="1">
      <x v="1"/>
    </i>
    <i r="2">
      <x v="8"/>
    </i>
    <i r="1">
      <x v="2"/>
    </i>
    <i r="2">
      <x v="34"/>
    </i>
    <i r="1">
      <x v="3"/>
    </i>
    <i r="2">
      <x v="30"/>
    </i>
    <i>
      <x v="14"/>
    </i>
    <i r="1">
      <x/>
    </i>
    <i r="2">
      <x v="20"/>
    </i>
    <i r="1">
      <x v="1"/>
    </i>
    <i r="2">
      <x v="7"/>
    </i>
    <i r="1">
      <x v="2"/>
    </i>
    <i r="2">
      <x v="28"/>
    </i>
    <i r="1">
      <x v="3"/>
    </i>
    <i r="2">
      <x v="29"/>
    </i>
    <i>
      <x v="15"/>
    </i>
    <i r="1">
      <x/>
    </i>
    <i r="2">
      <x v="20"/>
    </i>
    <i r="1">
      <x v="1"/>
    </i>
    <i r="2">
      <x v="12"/>
    </i>
    <i r="1">
      <x v="2"/>
    </i>
    <i r="2">
      <x v="36"/>
    </i>
    <i r="1">
      <x v="3"/>
    </i>
    <i r="2">
      <x v="30"/>
    </i>
    <i>
      <x v="16"/>
    </i>
    <i r="1">
      <x/>
    </i>
    <i r="2">
      <x v="20"/>
    </i>
    <i r="1">
      <x v="1"/>
    </i>
    <i r="2">
      <x v="8"/>
    </i>
    <i r="1">
      <x v="2"/>
    </i>
    <i r="2">
      <x v="34"/>
    </i>
    <i r="1">
      <x v="3"/>
    </i>
    <i r="2">
      <x v="30"/>
    </i>
    <i>
      <x v="17"/>
    </i>
    <i r="1">
      <x/>
    </i>
    <i r="2">
      <x v="23"/>
    </i>
    <i r="1">
      <x v="1"/>
    </i>
    <i r="2">
      <x v="13"/>
    </i>
    <i r="1">
      <x v="2"/>
    </i>
    <i r="2">
      <x v="8"/>
    </i>
    <i r="1">
      <x v="3"/>
    </i>
    <i r="2">
      <x v="37"/>
    </i>
    <i r="1">
      <x v="4"/>
    </i>
    <i r="2">
      <x v="41"/>
    </i>
    <i>
      <x v="18"/>
    </i>
    <i r="1">
      <x/>
    </i>
    <i r="2">
      <x v="20"/>
    </i>
    <i r="1">
      <x v="1"/>
    </i>
    <i r="2">
      <x v="8"/>
    </i>
    <i r="1">
      <x v="2"/>
    </i>
    <i r="2">
      <x v="37"/>
    </i>
    <i r="1">
      <x v="3"/>
    </i>
    <i r="2">
      <x v="30"/>
    </i>
    <i>
      <x v="19"/>
    </i>
    <i r="1">
      <x/>
    </i>
    <i r="2">
      <x v="20"/>
    </i>
    <i r="1">
      <x v="1"/>
    </i>
    <i r="2">
      <x v="5"/>
    </i>
    <i r="1">
      <x v="2"/>
    </i>
    <i r="2">
      <x v="33"/>
    </i>
    <i r="1">
      <x v="3"/>
    </i>
    <i r="2">
      <x v="29"/>
    </i>
    <i r="1">
      <x v="4"/>
    </i>
    <i r="2">
      <x v="15"/>
    </i>
    <i>
      <x v="20"/>
    </i>
    <i r="1">
      <x/>
    </i>
    <i r="2">
      <x v="20"/>
    </i>
    <i r="1">
      <x v="1"/>
    </i>
    <i r="2">
      <x v="2"/>
    </i>
    <i r="1">
      <x v="2"/>
    </i>
    <i r="2">
      <x v="26"/>
    </i>
    <i r="1">
      <x v="3"/>
    </i>
    <i r="2">
      <x v="30"/>
    </i>
  </rowItems>
  <colItems count="1">
    <i/>
  </colItem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C222732-3E09-6F4F-A622-76DCFEE1D32A}" name="PivotTable1" cacheId="62" applyNumberFormats="0" applyBorderFormats="0" applyFontFormats="0" applyPatternFormats="0" applyAlignmentFormats="0" applyWidthHeightFormats="1" dataCaption="Values" updatedVersion="6" minRefreshableVersion="3" showDrill="0" useAutoFormatting="1" itemPrintTitles="1" createdVersion="6" indent="0" outline="1" outlineData="1" multipleFieldFilters="0">
  <location ref="M9:N68" firstHeaderRow="1" firstDataRow="1" firstDataCol="1"/>
  <pivotFields count="11">
    <pivotField subtotalTop="0" showAll="0" defaultSubtotal="0"/>
    <pivotField subtotalTop="0" showAll="0" defaultSubtotal="0"/>
    <pivotField axis="axisRow" subtotalTop="0" showAll="0" defaultSubtotal="0">
      <items count="7">
        <item x="4"/>
        <item x="0"/>
        <item x="1"/>
        <item x="2"/>
        <item x="3"/>
        <item x="5"/>
        <item x="6"/>
      </items>
    </pivotField>
    <pivotField axis="axisRow" dataField="1" subtotalTop="0" showAll="0" defaultSubtotal="0">
      <items count="37">
        <item x="10"/>
        <item x="27"/>
        <item x="7"/>
        <item x="17"/>
        <item x="19"/>
        <item x="3"/>
        <item x="28"/>
        <item x="13"/>
        <item x="32"/>
        <item x="0"/>
        <item x="18"/>
        <item x="24"/>
        <item x="5"/>
        <item x="34"/>
        <item x="4"/>
        <item x="11"/>
        <item x="29"/>
        <item x="15"/>
        <item x="20"/>
        <item x="23"/>
        <item x="21"/>
        <item x="16"/>
        <item x="35"/>
        <item x="30"/>
        <item x="14"/>
        <item x="2"/>
        <item x="9"/>
        <item x="33"/>
        <item x="31"/>
        <item x="26"/>
        <item x="12"/>
        <item x="8"/>
        <item x="22"/>
        <item x="25"/>
        <item x="1"/>
        <item x="36"/>
        <item x="6"/>
      </items>
    </pivotField>
    <pivotField subtotalTop="0" showAll="0" defaultSubtotal="0"/>
    <pivotField subtotalTop="0" showAll="0" defaultSubtotal="0"/>
    <pivotField subtotalTop="0" showAll="0" defaultSubtotal="0"/>
    <pivotField subtotalTop="0" showAll="0" defaultSubtotal="0"/>
    <pivotField subtotalTop="0" showAll="0" defaultSubtotal="0"/>
    <pivotField subtotalTop="0" showAll="0" defaultSubtotal="0"/>
    <pivotField subtotalTop="0" showAll="0" defaultSubtotal="0"/>
  </pivotFields>
  <rowFields count="2">
    <field x="2"/>
    <field x="3"/>
  </rowFields>
  <rowItems count="59">
    <i>
      <x/>
    </i>
    <i r="1">
      <x v="14"/>
    </i>
    <i r="1">
      <x v="15"/>
    </i>
    <i r="1">
      <x v="28"/>
    </i>
    <i r="1">
      <x v="30"/>
    </i>
    <i r="1">
      <x v="33"/>
    </i>
    <i>
      <x v="1"/>
    </i>
    <i r="1">
      <x v="1"/>
    </i>
    <i r="1">
      <x v="2"/>
    </i>
    <i r="1">
      <x v="7"/>
    </i>
    <i r="1">
      <x v="8"/>
    </i>
    <i r="1">
      <x v="9"/>
    </i>
    <i r="1">
      <x v="12"/>
    </i>
    <i r="1">
      <x v="19"/>
    </i>
    <i r="1">
      <x v="20"/>
    </i>
    <i r="1">
      <x v="21"/>
    </i>
    <i r="1">
      <x v="25"/>
    </i>
    <i r="1">
      <x v="28"/>
    </i>
    <i r="1">
      <x v="29"/>
    </i>
    <i r="1">
      <x v="30"/>
    </i>
    <i r="1">
      <x v="34"/>
    </i>
    <i>
      <x v="2"/>
    </i>
    <i r="1">
      <x v="9"/>
    </i>
    <i r="1">
      <x v="32"/>
    </i>
    <i r="1">
      <x v="34"/>
    </i>
    <i r="1">
      <x v="36"/>
    </i>
    <i>
      <x v="3"/>
    </i>
    <i r="1">
      <x v="1"/>
    </i>
    <i r="1">
      <x v="2"/>
    </i>
    <i r="1">
      <x v="7"/>
    </i>
    <i r="1">
      <x v="8"/>
    </i>
    <i r="1">
      <x v="20"/>
    </i>
    <i r="1">
      <x v="25"/>
    </i>
    <i r="1">
      <x v="30"/>
    </i>
    <i r="1">
      <x v="32"/>
    </i>
    <i r="1">
      <x v="34"/>
    </i>
    <i>
      <x v="4"/>
    </i>
    <i r="1">
      <x v="3"/>
    </i>
    <i r="1">
      <x v="4"/>
    </i>
    <i r="1">
      <x v="5"/>
    </i>
    <i r="1">
      <x v="6"/>
    </i>
    <i r="1">
      <x v="11"/>
    </i>
    <i r="1">
      <x v="13"/>
    </i>
    <i r="1">
      <x v="16"/>
    </i>
    <i r="1">
      <x v="23"/>
    </i>
    <i r="1">
      <x v="24"/>
    </i>
    <i r="1">
      <x v="27"/>
    </i>
    <i r="1">
      <x v="31"/>
    </i>
    <i r="1">
      <x v="35"/>
    </i>
    <i>
      <x v="5"/>
    </i>
    <i r="1">
      <x v="26"/>
    </i>
    <i r="1">
      <x v="36"/>
    </i>
    <i>
      <x v="6"/>
    </i>
    <i r="1">
      <x/>
    </i>
    <i r="1">
      <x v="10"/>
    </i>
    <i r="1">
      <x v="17"/>
    </i>
    <i r="1">
      <x v="18"/>
    </i>
    <i r="1">
      <x v="22"/>
    </i>
    <i t="grand">
      <x/>
    </i>
  </rowItems>
  <colItems count="1">
    <i/>
  </colItems>
  <dataFields count="1">
    <dataField name="Count of Item" fld="3" subtotal="count" baseField="0" baseItem="0"/>
  </dataFields>
  <formats count="69">
    <format dxfId="559">
      <pivotArea collapsedLevelsAreSubtotals="1" fieldPosition="0">
        <references count="2">
          <reference field="2" count="1" selected="0">
            <x v="4"/>
          </reference>
          <reference field="3" count="0"/>
        </references>
      </pivotArea>
    </format>
    <format dxfId="558">
      <pivotArea dataOnly="0" labelOnly="1" fieldPosition="0">
        <references count="2">
          <reference field="2" count="1" selected="0">
            <x v="4"/>
          </reference>
          <reference field="3" count="0"/>
        </references>
      </pivotArea>
    </format>
    <format dxfId="557">
      <pivotArea collapsedLevelsAreSubtotals="1" fieldPosition="0">
        <references count="2">
          <reference field="2" count="1" selected="0">
            <x v="4"/>
          </reference>
          <reference field="3" count="11">
            <x v="4"/>
            <x v="5"/>
            <x v="6"/>
            <x v="11"/>
            <x v="13"/>
            <x v="16"/>
            <x v="23"/>
            <x v="24"/>
            <x v="27"/>
            <x v="31"/>
            <x v="35"/>
          </reference>
        </references>
      </pivotArea>
    </format>
    <format dxfId="556">
      <pivotArea dataOnly="0" labelOnly="1" fieldPosition="0">
        <references count="2">
          <reference field="2" count="1" selected="0">
            <x v="4"/>
          </reference>
          <reference field="3" count="11">
            <x v="4"/>
            <x v="5"/>
            <x v="6"/>
            <x v="11"/>
            <x v="13"/>
            <x v="16"/>
            <x v="23"/>
            <x v="24"/>
            <x v="27"/>
            <x v="31"/>
            <x v="35"/>
          </reference>
        </references>
      </pivotArea>
    </format>
    <format dxfId="555">
      <pivotArea collapsedLevelsAreSubtotals="1" fieldPosition="0">
        <references count="2">
          <reference field="2" count="1" selected="0">
            <x v="0"/>
          </reference>
          <reference field="3" count="2">
            <x v="14"/>
            <x v="15"/>
          </reference>
        </references>
      </pivotArea>
    </format>
    <format dxfId="554">
      <pivotArea dataOnly="0" labelOnly="1" fieldPosition="0">
        <references count="2">
          <reference field="2" count="1" selected="0">
            <x v="0"/>
          </reference>
          <reference field="3" count="2">
            <x v="14"/>
            <x v="15"/>
          </reference>
        </references>
      </pivotArea>
    </format>
    <format dxfId="553">
      <pivotArea collapsedLevelsAreSubtotals="1" fieldPosition="0">
        <references count="2">
          <reference field="2" count="1" selected="0">
            <x v="0"/>
          </reference>
          <reference field="3" count="1">
            <x v="33"/>
          </reference>
        </references>
      </pivotArea>
    </format>
    <format dxfId="552">
      <pivotArea dataOnly="0" labelOnly="1" fieldPosition="0">
        <references count="2">
          <reference field="2" count="1" selected="0">
            <x v="0"/>
          </reference>
          <reference field="3" count="1">
            <x v="33"/>
          </reference>
        </references>
      </pivotArea>
    </format>
    <format dxfId="551">
      <pivotArea collapsedLevelsAreSubtotals="1" fieldPosition="0">
        <references count="2">
          <reference field="2" count="1" selected="0">
            <x v="4"/>
          </reference>
          <reference field="3" count="9">
            <x v="3"/>
            <x v="4"/>
            <x v="5"/>
            <x v="6"/>
            <x v="11"/>
            <x v="13"/>
            <x v="16"/>
            <x v="23"/>
            <x v="24"/>
          </reference>
        </references>
      </pivotArea>
    </format>
    <format dxfId="550">
      <pivotArea dataOnly="0" labelOnly="1" fieldPosition="0">
        <references count="2">
          <reference field="2" count="1" selected="0">
            <x v="4"/>
          </reference>
          <reference field="3" count="9">
            <x v="3"/>
            <x v="4"/>
            <x v="5"/>
            <x v="6"/>
            <x v="11"/>
            <x v="13"/>
            <x v="16"/>
            <x v="23"/>
            <x v="24"/>
          </reference>
        </references>
      </pivotArea>
    </format>
    <format dxfId="549">
      <pivotArea collapsedLevelsAreSubtotals="1" fieldPosition="0">
        <references count="2">
          <reference field="2" count="1" selected="0">
            <x v="4"/>
          </reference>
          <reference field="3" count="1">
            <x v="31"/>
          </reference>
        </references>
      </pivotArea>
    </format>
    <format dxfId="548">
      <pivotArea dataOnly="0" labelOnly="1" fieldPosition="0">
        <references count="2">
          <reference field="2" count="1" selected="0">
            <x v="4"/>
          </reference>
          <reference field="3" count="1">
            <x v="31"/>
          </reference>
        </references>
      </pivotArea>
    </format>
    <format dxfId="547">
      <pivotArea collapsedLevelsAreSubtotals="1" fieldPosition="0">
        <references count="2">
          <reference field="2" count="1" selected="0">
            <x v="4"/>
          </reference>
          <reference field="3" count="1">
            <x v="27"/>
          </reference>
        </references>
      </pivotArea>
    </format>
    <format dxfId="546">
      <pivotArea dataOnly="0" labelOnly="1" fieldPosition="0">
        <references count="2">
          <reference field="2" count="1" selected="0">
            <x v="4"/>
          </reference>
          <reference field="3" count="1">
            <x v="27"/>
          </reference>
        </references>
      </pivotArea>
    </format>
    <format dxfId="545">
      <pivotArea collapsedLevelsAreSubtotals="1" fieldPosition="0">
        <references count="2">
          <reference field="2" count="1" selected="0">
            <x v="4"/>
          </reference>
          <reference field="3" count="1">
            <x v="35"/>
          </reference>
        </references>
      </pivotArea>
    </format>
    <format dxfId="544">
      <pivotArea dataOnly="0" labelOnly="1" fieldPosition="0">
        <references count="2">
          <reference field="2" count="1" selected="0">
            <x v="4"/>
          </reference>
          <reference field="3" count="1">
            <x v="35"/>
          </reference>
        </references>
      </pivotArea>
    </format>
    <format dxfId="543">
      <pivotArea collapsedLevelsAreSubtotals="1" fieldPosition="0">
        <references count="2">
          <reference field="2" count="1" selected="0">
            <x v="6"/>
          </reference>
          <reference field="3" count="1">
            <x v="0"/>
          </reference>
        </references>
      </pivotArea>
    </format>
    <format dxfId="542">
      <pivotArea dataOnly="0" labelOnly="1" fieldPosition="0">
        <references count="2">
          <reference field="2" count="1" selected="0">
            <x v="6"/>
          </reference>
          <reference field="3" count="1">
            <x v="0"/>
          </reference>
        </references>
      </pivotArea>
    </format>
    <format dxfId="541">
      <pivotArea collapsedLevelsAreSubtotals="1" fieldPosition="0">
        <references count="2">
          <reference field="2" count="1" selected="0">
            <x v="6"/>
          </reference>
          <reference field="3" count="1">
            <x v="10"/>
          </reference>
        </references>
      </pivotArea>
    </format>
    <format dxfId="540">
      <pivotArea dataOnly="0" labelOnly="1" fieldPosition="0">
        <references count="2">
          <reference field="2" count="1" selected="0">
            <x v="6"/>
          </reference>
          <reference field="3" count="1">
            <x v="10"/>
          </reference>
        </references>
      </pivotArea>
    </format>
    <format dxfId="539">
      <pivotArea collapsedLevelsAreSubtotals="1" fieldPosition="0">
        <references count="2">
          <reference field="2" count="1" selected="0">
            <x v="6"/>
          </reference>
          <reference field="3" count="1">
            <x v="18"/>
          </reference>
        </references>
      </pivotArea>
    </format>
    <format dxfId="538">
      <pivotArea dataOnly="0" labelOnly="1" fieldPosition="0">
        <references count="2">
          <reference field="2" count="1" selected="0">
            <x v="6"/>
          </reference>
          <reference field="3" count="1">
            <x v="18"/>
          </reference>
        </references>
      </pivotArea>
    </format>
    <format dxfId="537">
      <pivotArea collapsedLevelsAreSubtotals="1" fieldPosition="0">
        <references count="2">
          <reference field="2" count="1" selected="0">
            <x v="1"/>
          </reference>
          <reference field="3" count="1">
            <x v="1"/>
          </reference>
        </references>
      </pivotArea>
    </format>
    <format dxfId="536">
      <pivotArea dataOnly="0" labelOnly="1" fieldPosition="0">
        <references count="2">
          <reference field="2" count="1" selected="0">
            <x v="1"/>
          </reference>
          <reference field="3" count="1">
            <x v="1"/>
          </reference>
        </references>
      </pivotArea>
    </format>
    <format dxfId="535">
      <pivotArea collapsedLevelsAreSubtotals="1" fieldPosition="0">
        <references count="2">
          <reference field="2" count="1" selected="0">
            <x v="3"/>
          </reference>
          <reference field="3" count="1">
            <x v="1"/>
          </reference>
        </references>
      </pivotArea>
    </format>
    <format dxfId="534">
      <pivotArea dataOnly="0" labelOnly="1" fieldPosition="0">
        <references count="2">
          <reference field="2" count="1" selected="0">
            <x v="3"/>
          </reference>
          <reference field="3" count="1">
            <x v="1"/>
          </reference>
        </references>
      </pivotArea>
    </format>
    <format dxfId="533">
      <pivotArea collapsedLevelsAreSubtotals="1" fieldPosition="0">
        <references count="2">
          <reference field="2" count="1" selected="0">
            <x v="1"/>
          </reference>
          <reference field="3" count="1">
            <x v="2"/>
          </reference>
        </references>
      </pivotArea>
    </format>
    <format dxfId="532">
      <pivotArea dataOnly="0" labelOnly="1" fieldPosition="0">
        <references count="2">
          <reference field="2" count="1" selected="0">
            <x v="1"/>
          </reference>
          <reference field="3" count="1">
            <x v="2"/>
          </reference>
        </references>
      </pivotArea>
    </format>
    <format dxfId="531">
      <pivotArea collapsedLevelsAreSubtotals="1" fieldPosition="0">
        <references count="2">
          <reference field="2" count="1" selected="0">
            <x v="3"/>
          </reference>
          <reference field="3" count="1">
            <x v="2"/>
          </reference>
        </references>
      </pivotArea>
    </format>
    <format dxfId="530">
      <pivotArea dataOnly="0" labelOnly="1" fieldPosition="0">
        <references count="2">
          <reference field="2" count="1" selected="0">
            <x v="3"/>
          </reference>
          <reference field="3" count="1">
            <x v="2"/>
          </reference>
        </references>
      </pivotArea>
    </format>
    <format dxfId="529">
      <pivotArea collapsedLevelsAreSubtotals="1" fieldPosition="0">
        <references count="2">
          <reference field="2" count="1" selected="0">
            <x v="1"/>
          </reference>
          <reference field="3" count="1">
            <x v="8"/>
          </reference>
        </references>
      </pivotArea>
    </format>
    <format dxfId="528">
      <pivotArea dataOnly="0" labelOnly="1" fieldPosition="0">
        <references count="2">
          <reference field="2" count="1" selected="0">
            <x v="1"/>
          </reference>
          <reference field="3" count="1">
            <x v="8"/>
          </reference>
        </references>
      </pivotArea>
    </format>
    <format dxfId="527">
      <pivotArea collapsedLevelsAreSubtotals="1" fieldPosition="0">
        <references count="2">
          <reference field="2" count="1" selected="0">
            <x v="3"/>
          </reference>
          <reference field="3" count="1">
            <x v="8"/>
          </reference>
        </references>
      </pivotArea>
    </format>
    <format dxfId="526">
      <pivotArea dataOnly="0" labelOnly="1" fieldPosition="0">
        <references count="2">
          <reference field="2" count="1" selected="0">
            <x v="3"/>
          </reference>
          <reference field="3" count="1">
            <x v="8"/>
          </reference>
        </references>
      </pivotArea>
    </format>
    <format dxfId="525">
      <pivotArea collapsedLevelsAreSubtotals="1" fieldPosition="0">
        <references count="2">
          <reference field="2" count="1" selected="0">
            <x v="1"/>
          </reference>
          <reference field="3" count="1">
            <x v="25"/>
          </reference>
        </references>
      </pivotArea>
    </format>
    <format dxfId="524">
      <pivotArea dataOnly="0" labelOnly="1" fieldPosition="0">
        <references count="2">
          <reference field="2" count="1" selected="0">
            <x v="1"/>
          </reference>
          <reference field="3" count="1">
            <x v="25"/>
          </reference>
        </references>
      </pivotArea>
    </format>
    <format dxfId="523">
      <pivotArea collapsedLevelsAreSubtotals="1" fieldPosition="0">
        <references count="2">
          <reference field="2" count="1" selected="0">
            <x v="3"/>
          </reference>
          <reference field="3" count="1">
            <x v="25"/>
          </reference>
        </references>
      </pivotArea>
    </format>
    <format dxfId="522">
      <pivotArea dataOnly="0" labelOnly="1" fieldPosition="0">
        <references count="2">
          <reference field="2" count="1" selected="0">
            <x v="3"/>
          </reference>
          <reference field="3" count="1">
            <x v="25"/>
          </reference>
        </references>
      </pivotArea>
    </format>
    <format dxfId="521">
      <pivotArea collapsedLevelsAreSubtotals="1" fieldPosition="0">
        <references count="2">
          <reference field="2" count="1" selected="0">
            <x v="1"/>
          </reference>
          <reference field="3" count="1">
            <x v="19"/>
          </reference>
        </references>
      </pivotArea>
    </format>
    <format dxfId="520">
      <pivotArea dataOnly="0" labelOnly="1" fieldPosition="0">
        <references count="2">
          <reference field="2" count="1" selected="0">
            <x v="1"/>
          </reference>
          <reference field="3" count="1">
            <x v="19"/>
          </reference>
        </references>
      </pivotArea>
    </format>
    <format dxfId="519">
      <pivotArea collapsedLevelsAreSubtotals="1" fieldPosition="0">
        <references count="2">
          <reference field="2" count="1" selected="0">
            <x v="1"/>
          </reference>
          <reference field="3" count="1">
            <x v="20"/>
          </reference>
        </references>
      </pivotArea>
    </format>
    <format dxfId="518">
      <pivotArea dataOnly="0" labelOnly="1" fieldPosition="0">
        <references count="2">
          <reference field="2" count="1" selected="0">
            <x v="1"/>
          </reference>
          <reference field="3" count="1">
            <x v="20"/>
          </reference>
        </references>
      </pivotArea>
    </format>
    <format dxfId="517">
      <pivotArea collapsedLevelsAreSubtotals="1" fieldPosition="0">
        <references count="2">
          <reference field="2" count="1" selected="0">
            <x v="3"/>
          </reference>
          <reference field="3" count="1">
            <x v="20"/>
          </reference>
        </references>
      </pivotArea>
    </format>
    <format dxfId="516">
      <pivotArea dataOnly="0" labelOnly="1" fieldPosition="0">
        <references count="2">
          <reference field="2" count="1" selected="0">
            <x v="3"/>
          </reference>
          <reference field="3" count="1">
            <x v="20"/>
          </reference>
        </references>
      </pivotArea>
    </format>
    <format dxfId="515">
      <pivotArea collapsedLevelsAreSubtotals="1" fieldPosition="0">
        <references count="2">
          <reference field="2" count="1" selected="0">
            <x v="1"/>
          </reference>
          <reference field="3" count="1">
            <x v="21"/>
          </reference>
        </references>
      </pivotArea>
    </format>
    <format dxfId="514">
      <pivotArea dataOnly="0" labelOnly="1" fieldPosition="0">
        <references count="2">
          <reference field="2" count="1" selected="0">
            <x v="1"/>
          </reference>
          <reference field="3" count="1">
            <x v="21"/>
          </reference>
        </references>
      </pivotArea>
    </format>
    <format dxfId="513">
      <pivotArea collapsedLevelsAreSubtotals="1" fieldPosition="0">
        <references count="2">
          <reference field="2" count="1" selected="0">
            <x v="1"/>
          </reference>
          <reference field="3" count="1">
            <x v="9"/>
          </reference>
        </references>
      </pivotArea>
    </format>
    <format dxfId="512">
      <pivotArea dataOnly="0" labelOnly="1" fieldPosition="0">
        <references count="2">
          <reference field="2" count="1" selected="0">
            <x v="1"/>
          </reference>
          <reference field="3" count="1">
            <x v="9"/>
          </reference>
        </references>
      </pivotArea>
    </format>
    <format dxfId="511">
      <pivotArea collapsedLevelsAreSubtotals="1" fieldPosition="0">
        <references count="2">
          <reference field="2" count="1" selected="0">
            <x v="2"/>
          </reference>
          <reference field="3" count="1">
            <x v="9"/>
          </reference>
        </references>
      </pivotArea>
    </format>
    <format dxfId="510">
      <pivotArea dataOnly="0" labelOnly="1" fieldPosition="0">
        <references count="2">
          <reference field="2" count="1" selected="0">
            <x v="2"/>
          </reference>
          <reference field="3" count="1">
            <x v="9"/>
          </reference>
        </references>
      </pivotArea>
    </format>
    <format dxfId="509">
      <pivotArea collapsedLevelsAreSubtotals="1" fieldPosition="0">
        <references count="2">
          <reference field="2" count="1" selected="0">
            <x v="6"/>
          </reference>
          <reference field="3" count="1">
            <x v="22"/>
          </reference>
        </references>
      </pivotArea>
    </format>
    <format dxfId="508">
      <pivotArea dataOnly="0" labelOnly="1" fieldPosition="0">
        <references count="2">
          <reference field="2" count="1" selected="0">
            <x v="6"/>
          </reference>
          <reference field="3" count="1">
            <x v="22"/>
          </reference>
        </references>
      </pivotArea>
    </format>
    <format dxfId="507">
      <pivotArea collapsedLevelsAreSubtotals="1" fieldPosition="0">
        <references count="2">
          <reference field="2" count="1" selected="0">
            <x v="6"/>
          </reference>
          <reference field="3" count="1">
            <x v="17"/>
          </reference>
        </references>
      </pivotArea>
    </format>
    <format dxfId="506">
      <pivotArea dataOnly="0" labelOnly="1" fieldPosition="0">
        <references count="2">
          <reference field="2" count="1" selected="0">
            <x v="6"/>
          </reference>
          <reference field="3" count="1">
            <x v="17"/>
          </reference>
        </references>
      </pivotArea>
    </format>
    <format dxfId="505">
      <pivotArea collapsedLevelsAreSubtotals="1" fieldPosition="0">
        <references count="2">
          <reference field="2" count="1" selected="0">
            <x v="2"/>
          </reference>
          <reference field="3" count="1">
            <x v="32"/>
          </reference>
        </references>
      </pivotArea>
    </format>
    <format dxfId="504">
      <pivotArea dataOnly="0" labelOnly="1" fieldPosition="0">
        <references count="2">
          <reference field="2" count="1" selected="0">
            <x v="2"/>
          </reference>
          <reference field="3" count="1">
            <x v="32"/>
          </reference>
        </references>
      </pivotArea>
    </format>
    <format dxfId="503">
      <pivotArea dataOnly="0" fieldPosition="0">
        <references count="2">
          <reference field="2" count="1" selected="0">
            <x v="3"/>
          </reference>
          <reference field="3" count="1">
            <x v="32"/>
          </reference>
        </references>
      </pivotArea>
    </format>
    <format dxfId="502">
      <pivotArea collapsedLevelsAreSubtotals="1" fieldPosition="0">
        <references count="2">
          <reference field="2" count="1" selected="0">
            <x v="0"/>
          </reference>
          <reference field="3" count="1">
            <x v="28"/>
          </reference>
        </references>
      </pivotArea>
    </format>
    <format dxfId="501">
      <pivotArea dataOnly="0" labelOnly="1" fieldPosition="0">
        <references count="2">
          <reference field="2" count="1" selected="0">
            <x v="0"/>
          </reference>
          <reference field="3" count="1">
            <x v="28"/>
          </reference>
        </references>
      </pivotArea>
    </format>
    <format dxfId="500">
      <pivotArea collapsedLevelsAreSubtotals="1" fieldPosition="0">
        <references count="2">
          <reference field="2" count="1" selected="0">
            <x v="1"/>
          </reference>
          <reference field="3" count="1">
            <x v="28"/>
          </reference>
        </references>
      </pivotArea>
    </format>
    <format dxfId="499">
      <pivotArea dataOnly="0" labelOnly="1" fieldPosition="0">
        <references count="2">
          <reference field="2" count="1" selected="0">
            <x v="1"/>
          </reference>
          <reference field="3" count="1">
            <x v="28"/>
          </reference>
        </references>
      </pivotArea>
    </format>
    <format dxfId="498">
      <pivotArea collapsedLevelsAreSubtotals="1" fieldPosition="0">
        <references count="2">
          <reference field="2" count="1" selected="0">
            <x v="1"/>
          </reference>
          <reference field="3" count="1">
            <x v="29"/>
          </reference>
        </references>
      </pivotArea>
    </format>
    <format dxfId="497">
      <pivotArea dataOnly="0" labelOnly="1" fieldPosition="0">
        <references count="2">
          <reference field="2" count="1" selected="0">
            <x v="1"/>
          </reference>
          <reference field="3" count="1">
            <x v="29"/>
          </reference>
        </references>
      </pivotArea>
    </format>
    <format dxfId="496">
      <pivotArea collapsedLevelsAreSubtotals="1" fieldPosition="0">
        <references count="2">
          <reference field="2" count="1" selected="0">
            <x v="1"/>
          </reference>
          <reference field="3" count="1">
            <x v="34"/>
          </reference>
        </references>
      </pivotArea>
    </format>
    <format dxfId="495">
      <pivotArea dataOnly="0" labelOnly="1" fieldPosition="0">
        <references count="2">
          <reference field="2" count="1" selected="0">
            <x v="1"/>
          </reference>
          <reference field="3" count="1">
            <x v="34"/>
          </reference>
        </references>
      </pivotArea>
    </format>
    <format dxfId="494">
      <pivotArea collapsedLevelsAreSubtotals="1" fieldPosition="0">
        <references count="2">
          <reference field="2" count="1" selected="0">
            <x v="2"/>
          </reference>
          <reference field="3" count="1">
            <x v="34"/>
          </reference>
        </references>
      </pivotArea>
    </format>
    <format dxfId="493">
      <pivotArea dataOnly="0" labelOnly="1" fieldPosition="0">
        <references count="2">
          <reference field="2" count="1" selected="0">
            <x v="2"/>
          </reference>
          <reference field="3" count="1">
            <x v="34"/>
          </reference>
        </references>
      </pivotArea>
    </format>
    <format dxfId="492">
      <pivotArea collapsedLevelsAreSubtotals="1" fieldPosition="0">
        <references count="2">
          <reference field="2" count="1" selected="0">
            <x v="3"/>
          </reference>
          <reference field="3" count="1">
            <x v="34"/>
          </reference>
        </references>
      </pivotArea>
    </format>
    <format dxfId="491">
      <pivotArea dataOnly="0" labelOnly="1" fieldPosition="0">
        <references count="2">
          <reference field="2" count="1" selected="0">
            <x v="3"/>
          </reference>
          <reference field="3" count="1">
            <x v="34"/>
          </reference>
        </references>
      </pivotArea>
    </format>
  </formats>
  <pivotTableStyleInfo name="My Pivot Table"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4103A-6FDC-C340-907C-D82DFA17065C}" name="PivotTable2" cacheId="63" applyNumberFormats="0" applyBorderFormats="0" applyFontFormats="0" applyPatternFormats="0" applyAlignmentFormats="0" applyWidthHeightFormats="1" dataCaption="Values" updatedVersion="6" minRefreshableVersion="3" showDrill="0" useAutoFormatting="1" itemPrintTitles="1" createdVersion="6" indent="0" outline="1" outlineData="1" multipleFieldFilters="0">
  <location ref="M9:N65" firstHeaderRow="1" firstDataRow="1" firstDataCol="1"/>
  <pivotFields count="11">
    <pivotField subtotalTop="0" showAll="0" defaultSubtotal="0"/>
    <pivotField subtotalTop="0" showAll="0" defaultSubtotal="0"/>
    <pivotField axis="axisRow" subtotalTop="0" showAll="0" defaultSubtotal="0">
      <items count="7">
        <item x="4"/>
        <item x="0"/>
        <item x="1"/>
        <item x="2"/>
        <item x="3"/>
        <item x="5"/>
        <item x="6"/>
      </items>
    </pivotField>
    <pivotField axis="axisRow" dataField="1" subtotalTop="0" showAll="0" defaultSubtotal="0">
      <items count="37">
        <item x="9"/>
        <item x="2"/>
        <item x="1"/>
        <item x="20"/>
        <item x="31"/>
        <item x="7"/>
        <item x="19"/>
        <item x="11"/>
        <item x="17"/>
        <item x="0"/>
        <item x="14"/>
        <item x="3"/>
        <item x="12"/>
        <item x="28"/>
        <item x="35"/>
        <item x="4"/>
        <item x="15"/>
        <item x="18"/>
        <item x="25"/>
        <item x="22"/>
        <item x="24"/>
        <item x="36"/>
        <item x="26"/>
        <item x="34"/>
        <item x="21"/>
        <item x="27"/>
        <item x="16"/>
        <item x="30"/>
        <item x="8"/>
        <item x="10"/>
        <item x="23"/>
        <item x="32"/>
        <item x="29"/>
        <item x="5"/>
        <item x="33"/>
        <item x="13"/>
        <item x="6"/>
      </items>
    </pivotField>
    <pivotField subtotalTop="0" showAll="0" defaultSubtotal="0"/>
    <pivotField subtotalTop="0" showAll="0" defaultSubtotal="0"/>
    <pivotField subtotalTop="0" showAll="0" defaultSubtotal="0"/>
    <pivotField subtotalTop="0" showAll="0" defaultSubtotal="0"/>
    <pivotField subtotalTop="0" showAll="0" defaultSubtotal="0"/>
    <pivotField subtotalTop="0" showAll="0" defaultSubtotal="0"/>
    <pivotField subtotalTop="0" showAll="0" defaultSubtotal="0"/>
  </pivotFields>
  <rowFields count="2">
    <field x="2"/>
    <field x="3"/>
  </rowFields>
  <rowItems count="56">
    <i>
      <x/>
    </i>
    <i r="1">
      <x v="15"/>
    </i>
    <i r="1">
      <x v="16"/>
    </i>
    <i r="1">
      <x v="29"/>
    </i>
    <i r="1">
      <x v="30"/>
    </i>
    <i r="1">
      <x v="34"/>
    </i>
    <i>
      <x v="1"/>
    </i>
    <i r="1">
      <x v="1"/>
    </i>
    <i r="1">
      <x v="4"/>
    </i>
    <i r="1">
      <x v="7"/>
    </i>
    <i r="1">
      <x v="8"/>
    </i>
    <i r="1">
      <x v="9"/>
    </i>
    <i r="1">
      <x v="12"/>
    </i>
    <i r="1">
      <x v="13"/>
    </i>
    <i r="1">
      <x v="26"/>
    </i>
    <i r="1">
      <x v="30"/>
    </i>
    <i r="1">
      <x v="33"/>
    </i>
    <i>
      <x v="2"/>
    </i>
    <i r="1">
      <x v="2"/>
    </i>
    <i r="1">
      <x v="9"/>
    </i>
    <i r="1">
      <x v="36"/>
    </i>
    <i>
      <x v="3"/>
    </i>
    <i r="1">
      <x v="1"/>
    </i>
    <i r="1">
      <x v="3"/>
    </i>
    <i r="1">
      <x v="4"/>
    </i>
    <i r="1">
      <x v="7"/>
    </i>
    <i r="1">
      <x v="8"/>
    </i>
    <i r="1">
      <x v="12"/>
    </i>
    <i r="1">
      <x v="13"/>
    </i>
    <i r="1">
      <x v="20"/>
    </i>
    <i r="1">
      <x v="21"/>
    </i>
    <i r="1">
      <x v="22"/>
    </i>
    <i r="1">
      <x v="26"/>
    </i>
    <i>
      <x v="4"/>
    </i>
    <i r="1">
      <x v="2"/>
    </i>
    <i r="1">
      <x v="5"/>
    </i>
    <i r="1">
      <x v="11"/>
    </i>
    <i r="1">
      <x v="14"/>
    </i>
    <i r="1">
      <x v="17"/>
    </i>
    <i r="1">
      <x v="24"/>
    </i>
    <i r="1">
      <x v="25"/>
    </i>
    <i r="1">
      <x v="27"/>
    </i>
    <i r="1">
      <x v="31"/>
    </i>
    <i r="1">
      <x v="32"/>
    </i>
    <i r="1">
      <x v="35"/>
    </i>
    <i>
      <x v="5"/>
    </i>
    <i r="1">
      <x v="28"/>
    </i>
    <i r="1">
      <x v="36"/>
    </i>
    <i>
      <x v="6"/>
    </i>
    <i r="1">
      <x/>
    </i>
    <i r="1">
      <x v="6"/>
    </i>
    <i r="1">
      <x v="10"/>
    </i>
    <i r="1">
      <x v="18"/>
    </i>
    <i r="1">
      <x v="19"/>
    </i>
    <i r="1">
      <x v="23"/>
    </i>
    <i t="grand">
      <x/>
    </i>
  </rowItems>
  <colItems count="1">
    <i/>
  </colItems>
  <dataFields count="1">
    <dataField name="Count of Item" fld="3" subtotal="count" baseField="0" baseItem="0"/>
  </dataFields>
  <formats count="69">
    <format dxfId="490">
      <pivotArea collapsedLevelsAreSubtotals="1" fieldPosition="0">
        <references count="2">
          <reference field="2" count="1" selected="0">
            <x v="2"/>
          </reference>
          <reference field="3" count="0"/>
        </references>
      </pivotArea>
    </format>
    <format dxfId="489">
      <pivotArea dataOnly="0" labelOnly="1" fieldPosition="0">
        <references count="2">
          <reference field="2" count="1" selected="0">
            <x v="2"/>
          </reference>
          <reference field="3" count="0"/>
        </references>
      </pivotArea>
    </format>
    <format dxfId="488">
      <pivotArea collapsedLevelsAreSubtotals="1" fieldPosition="0">
        <references count="2">
          <reference field="2" count="1" selected="0">
            <x v="4"/>
          </reference>
          <reference field="3" count="0"/>
        </references>
      </pivotArea>
    </format>
    <format dxfId="487">
      <pivotArea collapsedLevelsAreSubtotals="1" fieldPosition="0">
        <references count="2">
          <reference field="2" count="1" selected="0">
            <x v="2"/>
          </reference>
          <reference field="3" count="2">
            <x v="9"/>
            <x v="36"/>
          </reference>
        </references>
      </pivotArea>
    </format>
    <format dxfId="486">
      <pivotArea dataOnly="0" labelOnly="1" fieldPosition="0">
        <references count="2">
          <reference field="2" count="1" selected="0">
            <x v="2"/>
          </reference>
          <reference field="3" count="2">
            <x v="9"/>
            <x v="36"/>
          </reference>
        </references>
      </pivotArea>
    </format>
    <format dxfId="485">
      <pivotArea collapsedLevelsAreSubtotals="1" fieldPosition="0">
        <references count="2">
          <reference field="2" count="1" selected="0">
            <x v="0"/>
          </reference>
          <reference field="3" count="1">
            <x v="15"/>
          </reference>
        </references>
      </pivotArea>
    </format>
    <format dxfId="484">
      <pivotArea dataOnly="0" labelOnly="1" fieldPosition="0">
        <references count="2">
          <reference field="2" count="1" selected="0">
            <x v="0"/>
          </reference>
          <reference field="3" count="1">
            <x v="15"/>
          </reference>
        </references>
      </pivotArea>
    </format>
    <format dxfId="483">
      <pivotArea collapsedLevelsAreSubtotals="1" fieldPosition="0">
        <references count="2">
          <reference field="2" count="1" selected="0">
            <x v="0"/>
          </reference>
          <reference field="3" count="1">
            <x v="16"/>
          </reference>
        </references>
      </pivotArea>
    </format>
    <format dxfId="482">
      <pivotArea dataOnly="0" labelOnly="1" fieldPosition="0">
        <references count="2">
          <reference field="2" count="1" selected="0">
            <x v="0"/>
          </reference>
          <reference field="3" count="1">
            <x v="16"/>
          </reference>
        </references>
      </pivotArea>
    </format>
    <format dxfId="481">
      <pivotArea collapsedLevelsAreSubtotals="1" fieldPosition="0">
        <references count="2">
          <reference field="2" count="1" selected="0">
            <x v="0"/>
          </reference>
          <reference field="3" count="1">
            <x v="34"/>
          </reference>
        </references>
      </pivotArea>
    </format>
    <format dxfId="480">
      <pivotArea dataOnly="0" labelOnly="1" fieldPosition="0">
        <references count="2">
          <reference field="2" count="1" selected="0">
            <x v="0"/>
          </reference>
          <reference field="3" count="1">
            <x v="34"/>
          </reference>
        </references>
      </pivotArea>
    </format>
    <format dxfId="479">
      <pivotArea collapsedLevelsAreSubtotals="1" fieldPosition="0">
        <references count="2">
          <reference field="2" count="1" selected="0">
            <x v="2"/>
          </reference>
          <reference field="3" count="1">
            <x v="2"/>
          </reference>
        </references>
      </pivotArea>
    </format>
    <format dxfId="478">
      <pivotArea dataOnly="0" labelOnly="1" fieldPosition="0">
        <references count="2">
          <reference field="2" count="1" selected="0">
            <x v="2"/>
          </reference>
          <reference field="3" count="1">
            <x v="2"/>
          </reference>
        </references>
      </pivotArea>
    </format>
    <format dxfId="477">
      <pivotArea collapsedLevelsAreSubtotals="1" fieldPosition="0">
        <references count="2">
          <reference field="2" count="1" selected="0">
            <x v="4"/>
          </reference>
          <reference field="3" count="4">
            <x v="2"/>
            <x v="5"/>
            <x v="11"/>
            <x v="14"/>
          </reference>
        </references>
      </pivotArea>
    </format>
    <format dxfId="476">
      <pivotArea dataOnly="0" labelOnly="1" fieldPosition="0">
        <references count="2">
          <reference field="2" count="1" selected="0">
            <x v="4"/>
          </reference>
          <reference field="3" count="4">
            <x v="2"/>
            <x v="5"/>
            <x v="11"/>
            <x v="14"/>
          </reference>
        </references>
      </pivotArea>
    </format>
    <format dxfId="475">
      <pivotArea collapsedLevelsAreSubtotals="1" fieldPosition="0">
        <references count="2">
          <reference field="2" count="1" selected="0">
            <x v="4"/>
          </reference>
          <reference field="3" count="1">
            <x v="24"/>
          </reference>
        </references>
      </pivotArea>
    </format>
    <format dxfId="474">
      <pivotArea dataOnly="0" labelOnly="1" fieldPosition="0">
        <references count="2">
          <reference field="2" count="1" selected="0">
            <x v="4"/>
          </reference>
          <reference field="3" count="1">
            <x v="24"/>
          </reference>
        </references>
      </pivotArea>
    </format>
    <format dxfId="473">
      <pivotArea collapsedLevelsAreSubtotals="1" fieldPosition="0">
        <references count="2">
          <reference field="2" count="1" selected="0">
            <x v="4"/>
          </reference>
          <reference field="3" count="3">
            <x v="27"/>
            <x v="31"/>
            <x v="32"/>
          </reference>
        </references>
      </pivotArea>
    </format>
    <format dxfId="472">
      <pivotArea dataOnly="0" labelOnly="1" fieldPosition="0">
        <references count="2">
          <reference field="2" count="1" selected="0">
            <x v="4"/>
          </reference>
          <reference field="3" count="3">
            <x v="27"/>
            <x v="31"/>
            <x v="32"/>
          </reference>
        </references>
      </pivotArea>
    </format>
    <format dxfId="471">
      <pivotArea collapsedLevelsAreSubtotals="1" fieldPosition="0">
        <references count="2">
          <reference field="2" count="1" selected="0">
            <x v="4"/>
          </reference>
          <reference field="3" count="1">
            <x v="17"/>
          </reference>
        </references>
      </pivotArea>
    </format>
    <format dxfId="470">
      <pivotArea dataOnly="0" labelOnly="1" fieldPosition="0">
        <references count="2">
          <reference field="2" count="1" selected="0">
            <x v="4"/>
          </reference>
          <reference field="3" count="1">
            <x v="17"/>
          </reference>
        </references>
      </pivotArea>
    </format>
    <format dxfId="469">
      <pivotArea collapsedLevelsAreSubtotals="1" fieldPosition="0">
        <references count="2">
          <reference field="2" count="1" selected="0">
            <x v="4"/>
          </reference>
          <reference field="3" count="1">
            <x v="35"/>
          </reference>
        </references>
      </pivotArea>
    </format>
    <format dxfId="468">
      <pivotArea dataOnly="0" labelOnly="1" fieldPosition="0">
        <references count="2">
          <reference field="2" count="1" selected="0">
            <x v="4"/>
          </reference>
          <reference field="3" count="1">
            <x v="35"/>
          </reference>
        </references>
      </pivotArea>
    </format>
    <format dxfId="467">
      <pivotArea collapsedLevelsAreSubtotals="1" fieldPosition="0">
        <references count="2">
          <reference field="2" count="1" selected="0">
            <x v="4"/>
          </reference>
          <reference field="3" count="1">
            <x v="25"/>
          </reference>
        </references>
      </pivotArea>
    </format>
    <format dxfId="466">
      <pivotArea dataOnly="0" labelOnly="1" fieldPosition="0">
        <references count="2">
          <reference field="2" count="1" selected="0">
            <x v="4"/>
          </reference>
          <reference field="3" count="1">
            <x v="25"/>
          </reference>
        </references>
      </pivotArea>
    </format>
    <format dxfId="465">
      <pivotArea collapsedLevelsAreSubtotals="1" fieldPosition="0">
        <references count="2">
          <reference field="2" count="1" selected="0">
            <x v="6"/>
          </reference>
          <reference field="3" count="1">
            <x v="0"/>
          </reference>
        </references>
      </pivotArea>
    </format>
    <format dxfId="464">
      <pivotArea dataOnly="0" labelOnly="1" fieldPosition="0">
        <references count="2">
          <reference field="2" count="1" selected="0">
            <x v="6"/>
          </reference>
          <reference field="3" count="1">
            <x v="0"/>
          </reference>
        </references>
      </pivotArea>
    </format>
    <format dxfId="463">
      <pivotArea collapsedLevelsAreSubtotals="1" fieldPosition="0">
        <references count="2">
          <reference field="2" count="1" selected="0">
            <x v="6"/>
          </reference>
          <reference field="3" count="1">
            <x v="10"/>
          </reference>
        </references>
      </pivotArea>
    </format>
    <format dxfId="462">
      <pivotArea dataOnly="0" labelOnly="1" fieldPosition="0">
        <references count="2">
          <reference field="2" count="1" selected="0">
            <x v="6"/>
          </reference>
          <reference field="3" count="1">
            <x v="10"/>
          </reference>
        </references>
      </pivotArea>
    </format>
    <format dxfId="461">
      <pivotArea collapsedLevelsAreSubtotals="1" fieldPosition="0">
        <references count="2">
          <reference field="2" count="1" selected="0">
            <x v="6"/>
          </reference>
          <reference field="3" count="1">
            <x v="6"/>
          </reference>
        </references>
      </pivotArea>
    </format>
    <format dxfId="460">
      <pivotArea dataOnly="0" labelOnly="1" fieldPosition="0">
        <references count="2">
          <reference field="2" count="1" selected="0">
            <x v="6"/>
          </reference>
          <reference field="3" count="1">
            <x v="6"/>
          </reference>
        </references>
      </pivotArea>
    </format>
    <format dxfId="459">
      <pivotArea collapsedLevelsAreSubtotals="1" fieldPosition="0">
        <references count="2">
          <reference field="2" count="1" selected="0">
            <x v="6"/>
          </reference>
          <reference field="3" count="1">
            <x v="19"/>
          </reference>
        </references>
      </pivotArea>
    </format>
    <format dxfId="458">
      <pivotArea dataOnly="0" labelOnly="1" fieldPosition="0">
        <references count="2">
          <reference field="2" count="1" selected="0">
            <x v="6"/>
          </reference>
          <reference field="3" count="1">
            <x v="19"/>
          </reference>
        </references>
      </pivotArea>
    </format>
    <format dxfId="457">
      <pivotArea collapsedLevelsAreSubtotals="1" fieldPosition="0">
        <references count="2">
          <reference field="2" count="1" selected="0">
            <x v="1"/>
          </reference>
          <reference field="3" count="1">
            <x v="1"/>
          </reference>
        </references>
      </pivotArea>
    </format>
    <format dxfId="456">
      <pivotArea dataOnly="0" labelOnly="1" fieldPosition="0">
        <references count="2">
          <reference field="2" count="1" selected="0">
            <x v="1"/>
          </reference>
          <reference field="3" count="1">
            <x v="1"/>
          </reference>
        </references>
      </pivotArea>
    </format>
    <format dxfId="455">
      <pivotArea collapsedLevelsAreSubtotals="1" fieldPosition="0">
        <references count="2">
          <reference field="2" count="1" selected="0">
            <x v="3"/>
          </reference>
          <reference field="3" count="1">
            <x v="1"/>
          </reference>
        </references>
      </pivotArea>
    </format>
    <format dxfId="454">
      <pivotArea dataOnly="0" labelOnly="1" fieldPosition="0">
        <references count="2">
          <reference field="2" count="1" selected="0">
            <x v="3"/>
          </reference>
          <reference field="3" count="1">
            <x v="1"/>
          </reference>
        </references>
      </pivotArea>
    </format>
    <format dxfId="453">
      <pivotArea collapsedLevelsAreSubtotals="1" fieldPosition="0">
        <references count="2">
          <reference field="2" count="1" selected="0">
            <x v="3"/>
          </reference>
          <reference field="3" count="1">
            <x v="3"/>
          </reference>
        </references>
      </pivotArea>
    </format>
    <format dxfId="452">
      <pivotArea dataOnly="0" labelOnly="1" fieldPosition="0">
        <references count="2">
          <reference field="2" count="1" selected="0">
            <x v="3"/>
          </reference>
          <reference field="3" count="1">
            <x v="3"/>
          </reference>
        </references>
      </pivotArea>
    </format>
    <format dxfId="451">
      <pivotArea collapsedLevelsAreSubtotals="1" fieldPosition="0">
        <references count="2">
          <reference field="2" count="1" selected="0">
            <x v="1"/>
          </reference>
          <reference field="3" count="1">
            <x v="8"/>
          </reference>
        </references>
      </pivotArea>
    </format>
    <format dxfId="450">
      <pivotArea dataOnly="0" labelOnly="1" fieldPosition="0">
        <references count="2">
          <reference field="2" count="1" selected="0">
            <x v="1"/>
          </reference>
          <reference field="3" count="1">
            <x v="8"/>
          </reference>
        </references>
      </pivotArea>
    </format>
    <format dxfId="449">
      <pivotArea collapsedLevelsAreSubtotals="1" fieldPosition="0">
        <references count="2">
          <reference field="2" count="1" selected="0">
            <x v="3"/>
          </reference>
          <reference field="3" count="1">
            <x v="8"/>
          </reference>
        </references>
      </pivotArea>
    </format>
    <format dxfId="448">
      <pivotArea dataOnly="0" labelOnly="1" fieldPosition="0">
        <references count="2">
          <reference field="2" count="1" selected="0">
            <x v="3"/>
          </reference>
          <reference field="3" count="1">
            <x v="8"/>
          </reference>
        </references>
      </pivotArea>
    </format>
    <format dxfId="447">
      <pivotArea collapsedLevelsAreSubtotals="1" fieldPosition="0">
        <references count="2">
          <reference field="2" count="1" selected="0">
            <x v="1"/>
          </reference>
          <reference field="3" count="1">
            <x v="26"/>
          </reference>
        </references>
      </pivotArea>
    </format>
    <format dxfId="446">
      <pivotArea dataOnly="0" labelOnly="1" fieldPosition="0">
        <references count="2">
          <reference field="2" count="1" selected="0">
            <x v="1"/>
          </reference>
          <reference field="3" count="1">
            <x v="26"/>
          </reference>
        </references>
      </pivotArea>
    </format>
    <format dxfId="445">
      <pivotArea collapsedLevelsAreSubtotals="1" fieldPosition="0">
        <references count="2">
          <reference field="2" count="1" selected="0">
            <x v="3"/>
          </reference>
          <reference field="3" count="1">
            <x v="26"/>
          </reference>
        </references>
      </pivotArea>
    </format>
    <format dxfId="444">
      <pivotArea dataOnly="0" labelOnly="1" fieldPosition="0">
        <references count="2">
          <reference field="2" count="1" selected="0">
            <x v="3"/>
          </reference>
          <reference field="3" count="1">
            <x v="26"/>
          </reference>
        </references>
      </pivotArea>
    </format>
    <format dxfId="443">
      <pivotArea collapsedLevelsAreSubtotals="1" fieldPosition="0">
        <references count="2">
          <reference field="2" count="1" selected="0">
            <x v="3"/>
          </reference>
          <reference field="3" count="1">
            <x v="20"/>
          </reference>
        </references>
      </pivotArea>
    </format>
    <format dxfId="442">
      <pivotArea dataOnly="0" labelOnly="1" fieldPosition="0">
        <references count="2">
          <reference field="2" count="1" selected="0">
            <x v="3"/>
          </reference>
          <reference field="3" count="1">
            <x v="20"/>
          </reference>
        </references>
      </pivotArea>
    </format>
    <format dxfId="441">
      <pivotArea collapsedLevelsAreSubtotals="1" fieldPosition="0">
        <references count="2">
          <reference field="2" count="1" selected="0">
            <x v="3"/>
          </reference>
          <reference field="3" count="1">
            <x v="21"/>
          </reference>
        </references>
      </pivotArea>
    </format>
    <format dxfId="440">
      <pivotArea dataOnly="0" labelOnly="1" fieldPosition="0">
        <references count="2">
          <reference field="2" count="1" selected="0">
            <x v="3"/>
          </reference>
          <reference field="3" count="1">
            <x v="21"/>
          </reference>
        </references>
      </pivotArea>
    </format>
    <format dxfId="439">
      <pivotArea collapsedLevelsAreSubtotals="1" fieldPosition="0">
        <references count="2">
          <reference field="2" count="1" selected="0">
            <x v="3"/>
          </reference>
          <reference field="3" count="1">
            <x v="22"/>
          </reference>
        </references>
      </pivotArea>
    </format>
    <format dxfId="438">
      <pivotArea dataOnly="0" labelOnly="1" fieldPosition="0">
        <references count="2">
          <reference field="2" count="1" selected="0">
            <x v="3"/>
          </reference>
          <reference field="3" count="1">
            <x v="22"/>
          </reference>
        </references>
      </pivotArea>
    </format>
    <format dxfId="437">
      <pivotArea collapsedLevelsAreSubtotals="1" fieldPosition="0">
        <references count="2">
          <reference field="2" count="1" selected="0">
            <x v="1"/>
          </reference>
          <reference field="3" count="1">
            <x v="4"/>
          </reference>
        </references>
      </pivotArea>
    </format>
    <format dxfId="436">
      <pivotArea dataOnly="0" labelOnly="1" fieldPosition="0">
        <references count="2">
          <reference field="2" count="1" selected="0">
            <x v="1"/>
          </reference>
          <reference field="3" count="1">
            <x v="4"/>
          </reference>
        </references>
      </pivotArea>
    </format>
    <format dxfId="435">
      <pivotArea collapsedLevelsAreSubtotals="1" fieldPosition="0">
        <references count="2">
          <reference field="2" count="1" selected="0">
            <x v="3"/>
          </reference>
          <reference field="3" count="1">
            <x v="4"/>
          </reference>
        </references>
      </pivotArea>
    </format>
    <format dxfId="434">
      <pivotArea dataOnly="0" labelOnly="1" fieldPosition="0">
        <references count="2">
          <reference field="2" count="1" selected="0">
            <x v="3"/>
          </reference>
          <reference field="3" count="1">
            <x v="4"/>
          </reference>
        </references>
      </pivotArea>
    </format>
    <format dxfId="433">
      <pivotArea collapsedLevelsAreSubtotals="1" fieldPosition="0">
        <references count="2">
          <reference field="2" count="1" selected="0">
            <x v="1"/>
          </reference>
          <reference field="3" count="1">
            <x v="9"/>
          </reference>
        </references>
      </pivotArea>
    </format>
    <format dxfId="432">
      <pivotArea dataOnly="0" labelOnly="1" fieldPosition="0">
        <references count="2">
          <reference field="2" count="1" selected="0">
            <x v="1"/>
          </reference>
          <reference field="3" count="1">
            <x v="9"/>
          </reference>
        </references>
      </pivotArea>
    </format>
    <format dxfId="431">
      <pivotArea collapsedLevelsAreSubtotals="1" fieldPosition="0">
        <references count="2">
          <reference field="2" count="1" selected="0">
            <x v="2"/>
          </reference>
          <reference field="3" count="1">
            <x v="9"/>
          </reference>
        </references>
      </pivotArea>
    </format>
    <format dxfId="430">
      <pivotArea dataOnly="0" labelOnly="1" fieldPosition="0">
        <references count="2">
          <reference field="2" count="1" selected="0">
            <x v="2"/>
          </reference>
          <reference field="3" count="1">
            <x v="9"/>
          </reference>
        </references>
      </pivotArea>
    </format>
    <format dxfId="429">
      <pivotArea collapsedLevelsAreSubtotals="1" fieldPosition="0">
        <references count="2">
          <reference field="2" count="1" selected="0">
            <x v="6"/>
          </reference>
          <reference field="3" count="1">
            <x v="23"/>
          </reference>
        </references>
      </pivotArea>
    </format>
    <format dxfId="428">
      <pivotArea dataOnly="0" labelOnly="1" fieldPosition="0">
        <references count="2">
          <reference field="2" count="1" selected="0">
            <x v="6"/>
          </reference>
          <reference field="3" count="1">
            <x v="23"/>
          </reference>
        </references>
      </pivotArea>
    </format>
    <format dxfId="427">
      <pivotArea collapsedLevelsAreSubtotals="1" fieldPosition="0">
        <references count="2">
          <reference field="2" count="1" selected="0">
            <x v="6"/>
          </reference>
          <reference field="3" count="1">
            <x v="18"/>
          </reference>
        </references>
      </pivotArea>
    </format>
    <format dxfId="426">
      <pivotArea dataOnly="0" labelOnly="1" fieldPosition="0">
        <references count="2">
          <reference field="2" count="1" selected="0">
            <x v="6"/>
          </reference>
          <reference field="3" count="1">
            <x v="18"/>
          </reference>
        </references>
      </pivotArea>
    </format>
    <format dxfId="425">
      <pivotArea collapsedLevelsAreSubtotals="1" fieldPosition="0">
        <references count="2">
          <reference field="2" count="1" selected="0">
            <x v="1"/>
          </reference>
          <reference field="3" count="1">
            <x v="33"/>
          </reference>
        </references>
      </pivotArea>
    </format>
    <format dxfId="424">
      <pivotArea dataOnly="0" labelOnly="1" fieldPosition="0">
        <references count="2">
          <reference field="2" count="1" selected="0">
            <x v="1"/>
          </reference>
          <reference field="3" count="1">
            <x v="33"/>
          </reference>
        </references>
      </pivotArea>
    </format>
    <format dxfId="423">
      <pivotArea collapsedLevelsAreSubtotals="1" fieldPosition="0">
        <references count="2">
          <reference field="2" count="1" selected="0">
            <x v="0"/>
          </reference>
          <reference field="3" count="1">
            <x v="29"/>
          </reference>
        </references>
      </pivotArea>
    </format>
    <format dxfId="422">
      <pivotArea dataOnly="0" labelOnly="1" fieldPosition="0">
        <references count="2">
          <reference field="2" count="1" selected="0">
            <x v="0"/>
          </reference>
          <reference field="3" count="1">
            <x v="29"/>
          </reference>
        </references>
      </pivotArea>
    </format>
  </formats>
  <pivotTableStyleInfo name="My Pivot Table"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528CEB0-F765-7C4D-A8F5-526B51D70AE3}" name="PivotTable1" cacheId="64" applyNumberFormats="0" applyBorderFormats="0" applyFontFormats="0" applyPatternFormats="0" applyAlignmentFormats="0" applyWidthHeightFormats="1" dataCaption="Values" updatedVersion="6" minRefreshableVersion="3" showDrill="0" useAutoFormatting="1" rowGrandTotals="0" colGrandTotals="0" itemPrintTitles="1" mergeItem="1" createdVersion="6" outline="1" outlineData="1" multipleFieldFilters="0">
  <location ref="J3:W74" firstHeaderRow="1" firstDataRow="2" firstDataCol="1"/>
  <pivotFields count="8">
    <pivotField showAll="0" defaultSubtotal="0"/>
    <pivotField showAll="0" defaultSubtotal="0"/>
    <pivotField showAll="0" defaultSubtotal="0"/>
    <pivotField showAll="0" defaultSubtotal="0"/>
    <pivotField axis="axisRow" dataField="1" showAll="0" defaultSubtotal="0">
      <items count="45">
        <item x="9"/>
        <item x="2"/>
        <item x="1"/>
        <item x="20"/>
        <item x="31"/>
        <item x="40"/>
        <item x="41"/>
        <item x="38"/>
        <item x="7"/>
        <item x="19"/>
        <item x="11"/>
        <item x="39"/>
        <item x="17"/>
        <item x="0"/>
        <item x="14"/>
        <item x="3"/>
        <item x="12"/>
        <item x="28"/>
        <item x="35"/>
        <item x="4"/>
        <item x="15"/>
        <item x="18"/>
        <item x="42"/>
        <item x="25"/>
        <item x="22"/>
        <item x="24"/>
        <item x="36"/>
        <item x="26"/>
        <item x="34"/>
        <item x="21"/>
        <item x="27"/>
        <item x="16"/>
        <item x="30"/>
        <item x="8"/>
        <item x="44"/>
        <item x="43"/>
        <item x="10"/>
        <item x="23"/>
        <item x="32"/>
        <item x="29"/>
        <item x="5"/>
        <item x="33"/>
        <item x="37"/>
        <item x="13"/>
        <item x="6"/>
      </items>
    </pivotField>
    <pivotField axis="axisRow" showAll="0" defaultSubtotal="0">
      <items count="17">
        <item x="14"/>
        <item x="1"/>
        <item x="3"/>
        <item x="13"/>
        <item x="8"/>
        <item x="9"/>
        <item x="7"/>
        <item x="11"/>
        <item x="15"/>
        <item x="5"/>
        <item x="16"/>
        <item x="6"/>
        <item x="10"/>
        <item x="0"/>
        <item x="12"/>
        <item x="2"/>
        <item x="4"/>
      </items>
    </pivotField>
    <pivotField axis="axisRow" showAll="0" defaultSubtotal="0">
      <items count="7">
        <item x="5"/>
        <item x="6"/>
        <item x="1"/>
        <item x="0"/>
        <item x="3"/>
        <item x="2"/>
        <item x="4"/>
      </items>
    </pivotField>
    <pivotField axis="axisCol" showAll="0" defaultSubtotal="0">
      <items count="13">
        <item x="0"/>
        <item x="3"/>
        <item x="9"/>
        <item x="12"/>
        <item x="5"/>
        <item x="7"/>
        <item x="4"/>
        <item x="8"/>
        <item x="10"/>
        <item x="6"/>
        <item x="1"/>
        <item x="2"/>
        <item x="11"/>
      </items>
    </pivotField>
  </pivotFields>
  <rowFields count="3">
    <field x="6"/>
    <field x="5"/>
    <field x="4"/>
  </rowFields>
  <rowItems count="70">
    <i>
      <x/>
    </i>
    <i r="1">
      <x v="3"/>
    </i>
    <i r="2">
      <x v="4"/>
    </i>
    <i r="1">
      <x v="4"/>
    </i>
    <i r="2">
      <x v="10"/>
    </i>
    <i r="2">
      <x v="11"/>
    </i>
    <i r="1">
      <x v="6"/>
    </i>
    <i r="2">
      <x v="35"/>
    </i>
    <i r="2">
      <x v="36"/>
    </i>
    <i r="1">
      <x v="8"/>
    </i>
    <i r="2">
      <x v="28"/>
    </i>
    <i r="1">
      <x v="11"/>
    </i>
    <i r="2">
      <x v="33"/>
    </i>
    <i r="1">
      <x v="12"/>
    </i>
    <i r="2">
      <x v="37"/>
    </i>
    <i>
      <x v="1"/>
    </i>
    <i r="1">
      <x/>
    </i>
    <i r="2">
      <x v="41"/>
    </i>
    <i>
      <x v="2"/>
    </i>
    <i r="1">
      <x v="1"/>
    </i>
    <i r="2">
      <x v="2"/>
    </i>
    <i r="2">
      <x v="7"/>
    </i>
    <i r="2">
      <x v="21"/>
    </i>
    <i r="2">
      <x v="22"/>
    </i>
    <i r="2">
      <x v="31"/>
    </i>
    <i r="2">
      <x v="34"/>
    </i>
    <i r="2">
      <x v="40"/>
    </i>
    <i r="2">
      <x v="43"/>
    </i>
    <i>
      <x v="3"/>
    </i>
    <i r="1">
      <x v="2"/>
    </i>
    <i r="2">
      <x v="30"/>
    </i>
    <i r="2">
      <x v="32"/>
    </i>
    <i r="1">
      <x v="5"/>
    </i>
    <i r="2">
      <x v="16"/>
    </i>
    <i r="2">
      <x v="17"/>
    </i>
    <i r="1">
      <x v="7"/>
    </i>
    <i r="2">
      <x v="25"/>
    </i>
    <i r="2">
      <x v="26"/>
    </i>
    <i r="2">
      <x v="27"/>
    </i>
    <i r="1">
      <x v="9"/>
    </i>
    <i r="2">
      <x/>
    </i>
    <i r="2">
      <x v="5"/>
    </i>
    <i r="2">
      <x v="6"/>
    </i>
    <i r="2">
      <x v="8"/>
    </i>
    <i r="2">
      <x v="20"/>
    </i>
    <i r="2">
      <x v="24"/>
    </i>
    <i r="2">
      <x v="29"/>
    </i>
    <i r="1">
      <x v="10"/>
    </i>
    <i r="2">
      <x v="42"/>
    </i>
    <i r="1">
      <x v="13"/>
    </i>
    <i r="2">
      <x v="13"/>
    </i>
    <i r="1">
      <x v="14"/>
    </i>
    <i r="2">
      <x v="23"/>
    </i>
    <i>
      <x v="4"/>
    </i>
    <i r="1">
      <x v="2"/>
    </i>
    <i r="2">
      <x v="9"/>
    </i>
    <i r="2">
      <x v="14"/>
    </i>
    <i r="2">
      <x v="15"/>
    </i>
    <i r="2">
      <x v="18"/>
    </i>
    <i r="2">
      <x v="19"/>
    </i>
    <i r="2">
      <x v="38"/>
    </i>
    <i r="2">
      <x v="39"/>
    </i>
    <i>
      <x v="5"/>
    </i>
    <i r="1">
      <x v="15"/>
    </i>
    <i r="2">
      <x v="1"/>
    </i>
    <i r="2">
      <x v="3"/>
    </i>
    <i r="2">
      <x v="12"/>
    </i>
    <i>
      <x v="6"/>
    </i>
    <i r="1">
      <x v="16"/>
    </i>
    <i r="2">
      <x v="44"/>
    </i>
  </rowItems>
  <colFields count="1">
    <field x="7"/>
  </colFields>
  <colItems count="13">
    <i>
      <x/>
    </i>
    <i>
      <x v="1"/>
    </i>
    <i>
      <x v="2"/>
    </i>
    <i>
      <x v="3"/>
    </i>
    <i>
      <x v="4"/>
    </i>
    <i>
      <x v="5"/>
    </i>
    <i>
      <x v="6"/>
    </i>
    <i>
      <x v="7"/>
    </i>
    <i>
      <x v="8"/>
    </i>
    <i>
      <x v="9"/>
    </i>
    <i>
      <x v="10"/>
    </i>
    <i>
      <x v="11"/>
    </i>
    <i>
      <x v="12"/>
    </i>
  </colItems>
  <dataFields count="1">
    <dataField name="Count of Item" fld="4" subtotal="count" baseField="0" baseItem="0"/>
  </dataFields>
  <formats count="65">
    <format dxfId="421">
      <pivotArea dataOnly="0" labelOnly="1" fieldPosition="0">
        <references count="3">
          <reference field="4" count="1">
            <x v="40"/>
          </reference>
          <reference field="5" count="1" selected="0">
            <x v="1"/>
          </reference>
          <reference field="6" count="1" selected="0">
            <x v="2"/>
          </reference>
        </references>
      </pivotArea>
    </format>
    <format dxfId="420">
      <pivotArea dataOnly="0" labelOnly="1" fieldPosition="0">
        <references count="3">
          <reference field="4" count="1">
            <x v="31"/>
          </reference>
          <reference field="5" count="1" selected="0">
            <x v="1"/>
          </reference>
          <reference field="6" count="1" selected="0">
            <x v="2"/>
          </reference>
        </references>
      </pivotArea>
    </format>
    <format dxfId="419">
      <pivotArea outline="0" collapsedLevelsAreSubtotals="1" fieldPosition="0"/>
    </format>
    <format dxfId="418">
      <pivotArea dataOnly="0" labelOnly="1" fieldPosition="0">
        <references count="1">
          <reference field="7" count="0"/>
        </references>
      </pivotArea>
    </format>
    <format dxfId="417">
      <pivotArea dataOnly="0" labelOnly="1" grandCol="1" outline="0" fieldPosition="0"/>
    </format>
    <format dxfId="416">
      <pivotArea collapsedLevelsAreSubtotals="1" fieldPosition="0">
        <references count="3">
          <reference field="4" count="2">
            <x v="10"/>
            <x v="11"/>
          </reference>
          <reference field="5" count="1" selected="0">
            <x v="4"/>
          </reference>
          <reference field="6" count="1" selected="0">
            <x v="3"/>
          </reference>
        </references>
      </pivotArea>
    </format>
    <format dxfId="415">
      <pivotArea dataOnly="0" labelOnly="1" fieldPosition="0">
        <references count="3">
          <reference field="4" count="2">
            <x v="10"/>
            <x v="11"/>
          </reference>
          <reference field="5" count="1" selected="0">
            <x v="4"/>
          </reference>
          <reference field="6" count="1" selected="0">
            <x v="3"/>
          </reference>
        </references>
      </pivotArea>
    </format>
    <format dxfId="414">
      <pivotArea collapsedLevelsAreSubtotals="1" fieldPosition="0">
        <references count="3">
          <reference field="4" count="1">
            <x v="41"/>
          </reference>
          <reference field="5" count="1" selected="0">
            <x v="0"/>
          </reference>
          <reference field="6" count="1" selected="0">
            <x v="1"/>
          </reference>
        </references>
      </pivotArea>
    </format>
    <format dxfId="413">
      <pivotArea dataOnly="0" labelOnly="1" fieldPosition="0">
        <references count="3">
          <reference field="4" count="1">
            <x v="41"/>
          </reference>
          <reference field="5" count="1" selected="0">
            <x v="0"/>
          </reference>
          <reference field="6" count="1" selected="0">
            <x v="1"/>
          </reference>
        </references>
      </pivotArea>
    </format>
    <format dxfId="412">
      <pivotArea collapsedLevelsAreSubtotals="1" fieldPosition="0">
        <references count="3">
          <reference field="4" count="2">
            <x v="2"/>
            <x v="7"/>
          </reference>
          <reference field="5" count="1" selected="0">
            <x v="1"/>
          </reference>
          <reference field="6" count="1" selected="0">
            <x v="2"/>
          </reference>
        </references>
      </pivotArea>
    </format>
    <format dxfId="411">
      <pivotArea dataOnly="0" labelOnly="1" fieldPosition="0">
        <references count="3">
          <reference field="4" count="2">
            <x v="2"/>
            <x v="7"/>
          </reference>
          <reference field="5" count="1" selected="0">
            <x v="1"/>
          </reference>
          <reference field="6" count="1" selected="0">
            <x v="2"/>
          </reference>
        </references>
      </pivotArea>
    </format>
    <format dxfId="410">
      <pivotArea collapsedLevelsAreSubtotals="1" fieldPosition="0">
        <references count="3">
          <reference field="4" count="1">
            <x v="22"/>
          </reference>
          <reference field="5" count="1" selected="0">
            <x v="1"/>
          </reference>
          <reference field="6" count="1" selected="0">
            <x v="2"/>
          </reference>
        </references>
      </pivotArea>
    </format>
    <format dxfId="409">
      <pivotArea dataOnly="0" labelOnly="1" fieldPosition="0">
        <references count="3">
          <reference field="4" count="1">
            <x v="22"/>
          </reference>
          <reference field="5" count="1" selected="0">
            <x v="1"/>
          </reference>
          <reference field="6" count="1" selected="0">
            <x v="2"/>
          </reference>
        </references>
      </pivotArea>
    </format>
    <format dxfId="408">
      <pivotArea collapsedLevelsAreSubtotals="1" fieldPosition="0">
        <references count="3">
          <reference field="4" count="2">
            <x v="30"/>
            <x v="32"/>
          </reference>
          <reference field="5" count="1" selected="0">
            <x v="2"/>
          </reference>
          <reference field="6" count="1" selected="0">
            <x v="3"/>
          </reference>
        </references>
      </pivotArea>
    </format>
    <format dxfId="407">
      <pivotArea dataOnly="0" labelOnly="1" fieldPosition="0">
        <references count="3">
          <reference field="4" count="2">
            <x v="30"/>
            <x v="32"/>
          </reference>
          <reference field="5" count="1" selected="0">
            <x v="2"/>
          </reference>
          <reference field="6" count="1" selected="0">
            <x v="3"/>
          </reference>
        </references>
      </pivotArea>
    </format>
    <format dxfId="406">
      <pivotArea collapsedLevelsAreSubtotals="1" fieldPosition="0">
        <references count="3">
          <reference field="4" count="4">
            <x v="5"/>
            <x v="6"/>
            <x v="8"/>
            <x v="20"/>
          </reference>
          <reference field="5" count="1" selected="0">
            <x v="9"/>
          </reference>
          <reference field="6" count="1" selected="0">
            <x v="3"/>
          </reference>
        </references>
      </pivotArea>
    </format>
    <format dxfId="405">
      <pivotArea dataOnly="0" labelOnly="1" fieldPosition="0">
        <references count="3">
          <reference field="4" count="4">
            <x v="5"/>
            <x v="6"/>
            <x v="8"/>
            <x v="20"/>
          </reference>
          <reference field="5" count="1" selected="0">
            <x v="9"/>
          </reference>
          <reference field="6" count="1" selected="0">
            <x v="3"/>
          </reference>
        </references>
      </pivotArea>
    </format>
    <format dxfId="404">
      <pivotArea collapsedLevelsAreSubtotals="1" fieldPosition="0">
        <references count="3">
          <reference field="4" count="1">
            <x v="29"/>
          </reference>
          <reference field="5" count="1" selected="0">
            <x v="9"/>
          </reference>
          <reference field="6" count="1" selected="0">
            <x v="3"/>
          </reference>
        </references>
      </pivotArea>
    </format>
    <format dxfId="403">
      <pivotArea dataOnly="0" labelOnly="1" fieldPosition="0">
        <references count="3">
          <reference field="4" count="1">
            <x v="29"/>
          </reference>
          <reference field="5" count="1" selected="0">
            <x v="9"/>
          </reference>
          <reference field="6" count="1" selected="0">
            <x v="3"/>
          </reference>
        </references>
      </pivotArea>
    </format>
    <format dxfId="402">
      <pivotArea collapsedLevelsAreSubtotals="1" fieldPosition="0">
        <references count="3">
          <reference field="4" count="5">
            <x v="15"/>
            <x v="18"/>
            <x v="19"/>
            <x v="38"/>
            <x v="39"/>
          </reference>
          <reference field="5" count="1" selected="0">
            <x v="2"/>
          </reference>
          <reference field="6" count="1" selected="0">
            <x v="4"/>
          </reference>
        </references>
      </pivotArea>
    </format>
    <format dxfId="401">
      <pivotArea dataOnly="0" labelOnly="1" fieldPosition="0">
        <references count="3">
          <reference field="4" count="5">
            <x v="15"/>
            <x v="18"/>
            <x v="19"/>
            <x v="38"/>
            <x v="39"/>
          </reference>
          <reference field="5" count="1" selected="0">
            <x v="2"/>
          </reference>
          <reference field="6" count="1" selected="0">
            <x v="4"/>
          </reference>
        </references>
      </pivotArea>
    </format>
    <format dxfId="400">
      <pivotArea collapsedLevelsAreSubtotals="1" fieldPosition="0">
        <references count="3">
          <reference field="4" count="1">
            <x v="21"/>
          </reference>
          <reference field="5" count="1" selected="0">
            <x v="1"/>
          </reference>
          <reference field="6" count="1" selected="0">
            <x v="2"/>
          </reference>
        </references>
      </pivotArea>
    </format>
    <format dxfId="399">
      <pivotArea dataOnly="0" labelOnly="1" fieldPosition="0">
        <references count="3">
          <reference field="4" count="1">
            <x v="21"/>
          </reference>
          <reference field="5" count="1" selected="0">
            <x v="1"/>
          </reference>
          <reference field="6" count="1" selected="0">
            <x v="2"/>
          </reference>
        </references>
      </pivotArea>
    </format>
    <format dxfId="398">
      <pivotArea collapsedLevelsAreSubtotals="1" fieldPosition="0">
        <references count="3">
          <reference field="4" count="1">
            <x v="34"/>
          </reference>
          <reference field="5" count="1" selected="0">
            <x v="1"/>
          </reference>
          <reference field="6" count="1" selected="0">
            <x v="2"/>
          </reference>
        </references>
      </pivotArea>
    </format>
    <format dxfId="397">
      <pivotArea dataOnly="0" labelOnly="1" fieldPosition="0">
        <references count="3">
          <reference field="4" count="1">
            <x v="34"/>
          </reference>
          <reference field="5" count="1" selected="0">
            <x v="1"/>
          </reference>
          <reference field="6" count="1" selected="0">
            <x v="2"/>
          </reference>
        </references>
      </pivotArea>
    </format>
    <format dxfId="396">
      <pivotArea collapsedLevelsAreSubtotals="1" fieldPosition="0">
        <references count="3">
          <reference field="4" count="1">
            <x v="43"/>
          </reference>
          <reference field="5" count="1" selected="0">
            <x v="1"/>
          </reference>
          <reference field="6" count="1" selected="0">
            <x v="2"/>
          </reference>
        </references>
      </pivotArea>
    </format>
    <format dxfId="395">
      <pivotArea dataOnly="0" labelOnly="1" fieldPosition="0">
        <references count="3">
          <reference field="4" count="1">
            <x v="43"/>
          </reference>
          <reference field="5" count="1" selected="0">
            <x v="1"/>
          </reference>
          <reference field="6" count="1" selected="0">
            <x v="2"/>
          </reference>
        </references>
      </pivotArea>
    </format>
    <format dxfId="394">
      <pivotArea collapsedLevelsAreSubtotals="1" fieldPosition="0">
        <references count="3">
          <reference field="4" count="1">
            <x v="0"/>
          </reference>
          <reference field="5" count="1" selected="0">
            <x v="9"/>
          </reference>
          <reference field="6" count="1" selected="0">
            <x v="3"/>
          </reference>
        </references>
      </pivotArea>
    </format>
    <format dxfId="393">
      <pivotArea dataOnly="0" labelOnly="1" fieldPosition="0">
        <references count="3">
          <reference field="4" count="1">
            <x v="0"/>
          </reference>
          <reference field="5" count="1" selected="0">
            <x v="9"/>
          </reference>
          <reference field="6" count="1" selected="0">
            <x v="3"/>
          </reference>
        </references>
      </pivotArea>
    </format>
    <format dxfId="392">
      <pivotArea collapsedLevelsAreSubtotals="1" fieldPosition="0">
        <references count="3">
          <reference field="4" count="1">
            <x v="14"/>
          </reference>
          <reference field="5" count="1" selected="0">
            <x v="2"/>
          </reference>
          <reference field="6" count="1" selected="0">
            <x v="4"/>
          </reference>
        </references>
      </pivotArea>
    </format>
    <format dxfId="391">
      <pivotArea dataOnly="0" labelOnly="1" fieldPosition="0">
        <references count="3">
          <reference field="4" count="1">
            <x v="14"/>
          </reference>
          <reference field="5" count="1" selected="0">
            <x v="2"/>
          </reference>
          <reference field="6" count="1" selected="0">
            <x v="4"/>
          </reference>
        </references>
      </pivotArea>
    </format>
    <format dxfId="390">
      <pivotArea collapsedLevelsAreSubtotals="1" fieldPosition="0">
        <references count="3">
          <reference field="4" count="1">
            <x v="9"/>
          </reference>
          <reference field="5" count="1" selected="0">
            <x v="2"/>
          </reference>
          <reference field="6" count="1" selected="0">
            <x v="4"/>
          </reference>
        </references>
      </pivotArea>
    </format>
    <format dxfId="389">
      <pivotArea dataOnly="0" labelOnly="1" fieldPosition="0">
        <references count="3">
          <reference field="4" count="1">
            <x v="9"/>
          </reference>
          <reference field="5" count="1" selected="0">
            <x v="2"/>
          </reference>
          <reference field="6" count="1" selected="0">
            <x v="4"/>
          </reference>
        </references>
      </pivotArea>
    </format>
    <format dxfId="388">
      <pivotArea collapsedLevelsAreSubtotals="1" fieldPosition="0">
        <references count="3">
          <reference field="4" count="1">
            <x v="24"/>
          </reference>
          <reference field="5" count="1" selected="0">
            <x v="9"/>
          </reference>
          <reference field="6" count="1" selected="0">
            <x v="3"/>
          </reference>
        </references>
      </pivotArea>
    </format>
    <format dxfId="387">
      <pivotArea dataOnly="0" labelOnly="1" fieldPosition="0">
        <references count="3">
          <reference field="4" count="1">
            <x v="24"/>
          </reference>
          <reference field="5" count="1" selected="0">
            <x v="9"/>
          </reference>
          <reference field="6" count="1" selected="0">
            <x v="3"/>
          </reference>
        </references>
      </pivotArea>
    </format>
    <format dxfId="386">
      <pivotArea collapsedLevelsAreSubtotals="1" fieldPosition="0">
        <references count="3">
          <reference field="4" count="1">
            <x v="1"/>
          </reference>
          <reference field="5" count="1" selected="0">
            <x v="15"/>
          </reference>
          <reference field="6" count="1" selected="0">
            <x v="5"/>
          </reference>
        </references>
      </pivotArea>
    </format>
    <format dxfId="385">
      <pivotArea dataOnly="0" labelOnly="1" fieldPosition="0">
        <references count="3">
          <reference field="4" count="1">
            <x v="1"/>
          </reference>
          <reference field="5" count="1" selected="0">
            <x v="15"/>
          </reference>
          <reference field="6" count="1" selected="0">
            <x v="5"/>
          </reference>
        </references>
      </pivotArea>
    </format>
    <format dxfId="384">
      <pivotArea collapsedLevelsAreSubtotals="1" fieldPosition="0">
        <references count="3">
          <reference field="4" count="1">
            <x v="3"/>
          </reference>
          <reference field="5" count="1" selected="0">
            <x v="15"/>
          </reference>
          <reference field="6" count="1" selected="0">
            <x v="5"/>
          </reference>
        </references>
      </pivotArea>
    </format>
    <format dxfId="383">
      <pivotArea dataOnly="0" labelOnly="1" fieldPosition="0">
        <references count="3">
          <reference field="4" count="1">
            <x v="3"/>
          </reference>
          <reference field="5" count="1" selected="0">
            <x v="15"/>
          </reference>
          <reference field="6" count="1" selected="0">
            <x v="5"/>
          </reference>
        </references>
      </pivotArea>
    </format>
    <format dxfId="382">
      <pivotArea collapsedLevelsAreSubtotals="1" fieldPosition="0">
        <references count="3">
          <reference field="4" count="1">
            <x v="12"/>
          </reference>
          <reference field="5" count="1" selected="0">
            <x v="15"/>
          </reference>
          <reference field="6" count="1" selected="0">
            <x v="5"/>
          </reference>
        </references>
      </pivotArea>
    </format>
    <format dxfId="381">
      <pivotArea dataOnly="0" labelOnly="1" fieldPosition="0">
        <references count="3">
          <reference field="4" count="1">
            <x v="12"/>
          </reference>
          <reference field="5" count="1" selected="0">
            <x v="15"/>
          </reference>
          <reference field="6" count="1" selected="0">
            <x v="5"/>
          </reference>
        </references>
      </pivotArea>
    </format>
    <format dxfId="380">
      <pivotArea collapsedLevelsAreSubtotals="1" fieldPosition="0">
        <references count="3">
          <reference field="4" count="1">
            <x v="31"/>
          </reference>
          <reference field="5" count="1" selected="0">
            <x v="1"/>
          </reference>
          <reference field="6" count="1" selected="0">
            <x v="2"/>
          </reference>
        </references>
      </pivotArea>
    </format>
    <format dxfId="379">
      <pivotArea dataOnly="0" labelOnly="1" fieldPosition="0">
        <references count="3">
          <reference field="4" count="1">
            <x v="31"/>
          </reference>
          <reference field="5" count="1" selected="0">
            <x v="1"/>
          </reference>
          <reference field="6" count="1" selected="0">
            <x v="2"/>
          </reference>
        </references>
      </pivotArea>
    </format>
    <format dxfId="378">
      <pivotArea collapsedLevelsAreSubtotals="1" fieldPosition="0">
        <references count="3">
          <reference field="4" count="1">
            <x v="25"/>
          </reference>
          <reference field="5" count="1" selected="0">
            <x v="7"/>
          </reference>
          <reference field="6" count="1" selected="0">
            <x v="3"/>
          </reference>
        </references>
      </pivotArea>
    </format>
    <format dxfId="377">
      <pivotArea dataOnly="0" labelOnly="1" fieldPosition="0">
        <references count="3">
          <reference field="4" count="1">
            <x v="25"/>
          </reference>
          <reference field="5" count="1" selected="0">
            <x v="7"/>
          </reference>
          <reference field="6" count="1" selected="0">
            <x v="3"/>
          </reference>
        </references>
      </pivotArea>
    </format>
    <format dxfId="376">
      <pivotArea collapsedLevelsAreSubtotals="1" fieldPosition="0">
        <references count="3">
          <reference field="4" count="1">
            <x v="26"/>
          </reference>
          <reference field="5" count="1" selected="0">
            <x v="7"/>
          </reference>
          <reference field="6" count="1" selected="0">
            <x v="3"/>
          </reference>
        </references>
      </pivotArea>
    </format>
    <format dxfId="375">
      <pivotArea dataOnly="0" labelOnly="1" fieldPosition="0">
        <references count="3">
          <reference field="4" count="1">
            <x v="26"/>
          </reference>
          <reference field="5" count="1" selected="0">
            <x v="7"/>
          </reference>
          <reference field="6" count="1" selected="0">
            <x v="3"/>
          </reference>
        </references>
      </pivotArea>
    </format>
    <format dxfId="374">
      <pivotArea collapsedLevelsAreSubtotals="1" fieldPosition="0">
        <references count="3">
          <reference field="4" count="1">
            <x v="27"/>
          </reference>
          <reference field="5" count="1" selected="0">
            <x v="7"/>
          </reference>
          <reference field="6" count="1" selected="0">
            <x v="3"/>
          </reference>
        </references>
      </pivotArea>
    </format>
    <format dxfId="373">
      <pivotArea dataOnly="0" labelOnly="1" fieldPosition="0">
        <references count="3">
          <reference field="4" count="1">
            <x v="27"/>
          </reference>
          <reference field="5" count="1" selected="0">
            <x v="7"/>
          </reference>
          <reference field="6" count="1" selected="0">
            <x v="3"/>
          </reference>
        </references>
      </pivotArea>
    </format>
    <format dxfId="372">
      <pivotArea collapsedLevelsAreSubtotals="1" fieldPosition="0">
        <references count="3">
          <reference field="4" count="1">
            <x v="4"/>
          </reference>
          <reference field="5" count="1" selected="0">
            <x v="3"/>
          </reference>
          <reference field="6" count="1" selected="0">
            <x v="0"/>
          </reference>
        </references>
      </pivotArea>
    </format>
    <format dxfId="371">
      <pivotArea dataOnly="0" labelOnly="1" fieldPosition="0">
        <references count="3">
          <reference field="4" count="1">
            <x v="4"/>
          </reference>
          <reference field="5" count="1" selected="0">
            <x v="3"/>
          </reference>
          <reference field="6" count="1" selected="0">
            <x v="0"/>
          </reference>
        </references>
      </pivotArea>
    </format>
    <format dxfId="370">
      <pivotArea collapsedLevelsAreSubtotals="1" fieldPosition="0">
        <references count="3">
          <reference field="4" count="1">
            <x v="13"/>
          </reference>
          <reference field="5" count="1" selected="0">
            <x v="13"/>
          </reference>
          <reference field="6" count="1" selected="0">
            <x v="3"/>
          </reference>
        </references>
      </pivotArea>
    </format>
    <format dxfId="369">
      <pivotArea dataOnly="0" labelOnly="1" fieldPosition="0">
        <references count="3">
          <reference field="4" count="1">
            <x v="13"/>
          </reference>
          <reference field="5" count="1" selected="0">
            <x v="13"/>
          </reference>
          <reference field="6" count="1" selected="0">
            <x v="3"/>
          </reference>
        </references>
      </pivotArea>
    </format>
    <format dxfId="368">
      <pivotArea collapsedLevelsAreSubtotals="1" fieldPosition="0">
        <references count="3">
          <reference field="4" count="1">
            <x v="28"/>
          </reference>
          <reference field="5" count="1" selected="0">
            <x v="8"/>
          </reference>
          <reference field="6" count="1" selected="0">
            <x v="0"/>
          </reference>
        </references>
      </pivotArea>
    </format>
    <format dxfId="367">
      <pivotArea dataOnly="0" labelOnly="1" fieldPosition="0">
        <references count="3">
          <reference field="4" count="1">
            <x v="28"/>
          </reference>
          <reference field="5" count="1" selected="0">
            <x v="8"/>
          </reference>
          <reference field="6" count="1" selected="0">
            <x v="0"/>
          </reference>
        </references>
      </pivotArea>
    </format>
    <format dxfId="366">
      <pivotArea collapsedLevelsAreSubtotals="1" fieldPosition="0">
        <references count="3">
          <reference field="4" count="1">
            <x v="23"/>
          </reference>
          <reference field="5" count="1" selected="0">
            <x v="14"/>
          </reference>
          <reference field="6" count="1" selected="0">
            <x v="3"/>
          </reference>
        </references>
      </pivotArea>
    </format>
    <format dxfId="365">
      <pivotArea dataOnly="0" labelOnly="1" fieldPosition="0">
        <references count="3">
          <reference field="4" count="1">
            <x v="23"/>
          </reference>
          <reference field="5" count="1" selected="0">
            <x v="14"/>
          </reference>
          <reference field="6" count="1" selected="0">
            <x v="3"/>
          </reference>
        </references>
      </pivotArea>
    </format>
    <format dxfId="364">
      <pivotArea collapsedLevelsAreSubtotals="1" fieldPosition="0">
        <references count="3">
          <reference field="4" count="1">
            <x v="40"/>
          </reference>
          <reference field="5" count="1" selected="0">
            <x v="1"/>
          </reference>
          <reference field="6" count="1" selected="0">
            <x v="2"/>
          </reference>
        </references>
      </pivotArea>
    </format>
    <format dxfId="363">
      <pivotArea dataOnly="0" labelOnly="1" fieldPosition="0">
        <references count="3">
          <reference field="4" count="1">
            <x v="40"/>
          </reference>
          <reference field="5" count="1" selected="0">
            <x v="1"/>
          </reference>
          <reference field="6" count="1" selected="0">
            <x v="2"/>
          </reference>
        </references>
      </pivotArea>
    </format>
    <format dxfId="362">
      <pivotArea collapsedLevelsAreSubtotals="1" fieldPosition="0">
        <references count="3">
          <reference field="4" count="1">
            <x v="35"/>
          </reference>
          <reference field="5" count="1" selected="0">
            <x v="6"/>
          </reference>
          <reference field="6" count="1" selected="0">
            <x v="0"/>
          </reference>
        </references>
      </pivotArea>
    </format>
    <format dxfId="361">
      <pivotArea dataOnly="0" labelOnly="1" fieldPosition="0">
        <references count="3">
          <reference field="4" count="1">
            <x v="35"/>
          </reference>
          <reference field="5" count="1" selected="0">
            <x v="6"/>
          </reference>
          <reference field="6" count="1" selected="0">
            <x v="0"/>
          </reference>
        </references>
      </pivotArea>
    </format>
    <format dxfId="360">
      <pivotArea collapsedLevelsAreSubtotals="1" fieldPosition="0">
        <references count="3">
          <reference field="4" count="1">
            <x v="36"/>
          </reference>
          <reference field="5" count="1" selected="0">
            <x v="6"/>
          </reference>
          <reference field="6" count="1" selected="0">
            <x v="0"/>
          </reference>
        </references>
      </pivotArea>
    </format>
    <format dxfId="359">
      <pivotArea dataOnly="0" labelOnly="1" fieldPosition="0">
        <references count="3">
          <reference field="4" count="1">
            <x v="36"/>
          </reference>
          <reference field="5" count="1" selected="0">
            <x v="6"/>
          </reference>
          <reference field="6" count="1" selected="0">
            <x v="0"/>
          </reference>
        </references>
      </pivotArea>
    </format>
    <format dxfId="358">
      <pivotArea collapsedLevelsAreSubtotals="1" fieldPosition="0">
        <references count="3">
          <reference field="4" count="1">
            <x v="42"/>
          </reference>
          <reference field="5" count="1" selected="0">
            <x v="10"/>
          </reference>
          <reference field="6" count="1" selected="0">
            <x v="3"/>
          </reference>
        </references>
      </pivotArea>
    </format>
    <format dxfId="357">
      <pivotArea dataOnly="0" labelOnly="1" fieldPosition="0">
        <references count="3">
          <reference field="4" count="1">
            <x v="42"/>
          </reference>
          <reference field="5" count="1" selected="0">
            <x v="10"/>
          </reference>
          <reference field="6" count="1" selected="0">
            <x v="3"/>
          </reference>
        </references>
      </pivotArea>
    </format>
  </formats>
  <pivotTableStyleInfo name="My Pivot Table"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1A28FDD-2392-A844-8AAF-AB82DE0E9397}" name="PivotTable1" cacheId="66" applyNumberFormats="0" applyBorderFormats="0" applyFontFormats="0" applyPatternFormats="0" applyAlignmentFormats="0" applyWidthHeightFormats="1" dataCaption="Values" updatedVersion="6" minRefreshableVersion="3" showDrill="0" useAutoFormatting="1" itemPrintTitles="1" createdVersion="4" indent="0" compact="0" compactData="0" multipleFieldFilters="0" customListSort="0">
  <location ref="A5:J122" firstHeaderRow="0" firstDataRow="1" firstDataCol="7" rowPageCount="1" colPageCount="1"/>
  <pivotFields count="18">
    <pivotField axis="axisRow" compact="0" outline="0" showAll="0" sortType="ascending" defaultSubtotal="0">
      <items count="209">
        <item x="94"/>
        <item x="128"/>
        <item x="194"/>
        <item x="195"/>
        <item x="160"/>
        <item x="34"/>
        <item x="35"/>
        <item x="59"/>
        <item x="119"/>
        <item x="120"/>
        <item x="0"/>
        <item x="129"/>
        <item x="43"/>
        <item x="187"/>
        <item x="44"/>
        <item x="45"/>
        <item x="106"/>
        <item x="102"/>
        <item x="3"/>
        <item x="100"/>
        <item x="154"/>
        <item x="26"/>
        <item x="188"/>
        <item x="166"/>
        <item x="198"/>
        <item x="46"/>
        <item x="49"/>
        <item x="199"/>
        <item x="149"/>
        <item x="87"/>
        <item x="189"/>
        <item x="161"/>
        <item x="158"/>
        <item x="148"/>
        <item x="141"/>
        <item x="184"/>
        <item x="203"/>
        <item x="147"/>
        <item x="118"/>
        <item x="110"/>
        <item x="47"/>
        <item x="95"/>
        <item x="50"/>
        <item x="196"/>
        <item x="111"/>
        <item x="65"/>
        <item x="176"/>
        <item x="36"/>
        <item x="2"/>
        <item x="167"/>
        <item x="114"/>
        <item x="51"/>
        <item x="52"/>
        <item x="53"/>
        <item x="168"/>
        <item x="193"/>
        <item x="130"/>
        <item x="162"/>
        <item x="33"/>
        <item x="173"/>
        <item x="177"/>
        <item x="205"/>
        <item x="14"/>
        <item x="103"/>
        <item x="113"/>
        <item x="40"/>
        <item x="152"/>
        <item x="48"/>
        <item x="140"/>
        <item x="23"/>
        <item x="164"/>
        <item x="62"/>
        <item x="123"/>
        <item x="122"/>
        <item x="124"/>
        <item x="180"/>
        <item x="74"/>
        <item x="75"/>
        <item x="172"/>
        <item x="185"/>
        <item x="56"/>
        <item x="155"/>
        <item x="37"/>
        <item x="31"/>
        <item x="145"/>
        <item x="38"/>
        <item x="190"/>
        <item x="25"/>
        <item x="197"/>
        <item x="41"/>
        <item x="105"/>
        <item x="81"/>
        <item x="191"/>
        <item x="82"/>
        <item x="146"/>
        <item x="202"/>
        <item x="170"/>
        <item x="4"/>
        <item x="101"/>
        <item x="186"/>
        <item x="200"/>
        <item x="174"/>
        <item x="16"/>
        <item x="206"/>
        <item x="54"/>
        <item x="88"/>
        <item x="109"/>
        <item x="104"/>
        <item x="42"/>
        <item x="90"/>
        <item x="83"/>
        <item x="117"/>
        <item x="55"/>
        <item x="169"/>
        <item x="115"/>
        <item x="99"/>
        <item x="77"/>
        <item x="134"/>
        <item x="150"/>
        <item x="17"/>
        <item x="192"/>
        <item x="79"/>
        <item x="63"/>
        <item x="58"/>
        <item x="27"/>
        <item x="85"/>
        <item x="80"/>
        <item x="142"/>
        <item x="143"/>
        <item x="144"/>
        <item x="66"/>
        <item x="171"/>
        <item x="163"/>
        <item x="30"/>
        <item x="131"/>
        <item x="9"/>
        <item x="135"/>
        <item x="165"/>
        <item x="136"/>
        <item x="132"/>
        <item x="10"/>
        <item x="78"/>
        <item x="84"/>
        <item x="121"/>
        <item x="86"/>
        <item x="159"/>
        <item x="76"/>
        <item x="181"/>
        <item x="137"/>
        <item x="107"/>
        <item x="151"/>
        <item x="5"/>
        <item x="138"/>
        <item x="139"/>
        <item x="18"/>
        <item x="11"/>
        <item x="29"/>
        <item x="157"/>
        <item x="156"/>
        <item x="28"/>
        <item x="182"/>
        <item x="57"/>
        <item x="19"/>
        <item x="6"/>
        <item x="89"/>
        <item x="24"/>
        <item x="15"/>
        <item x="179"/>
        <item x="60"/>
        <item x="61"/>
        <item x="116"/>
        <item x="112"/>
        <item x="207"/>
        <item x="96"/>
        <item x="204"/>
        <item x="69"/>
        <item x="133"/>
        <item x="125"/>
        <item x="126"/>
        <item x="175"/>
        <item x="64"/>
        <item x="70"/>
        <item x="67"/>
        <item x="68"/>
        <item x="72"/>
        <item x="20"/>
        <item x="73"/>
        <item x="183"/>
        <item x="97"/>
        <item x="32"/>
        <item x="12"/>
        <item x="7"/>
        <item x="21"/>
        <item x="8"/>
        <item x="108"/>
        <item x="178"/>
        <item x="22"/>
        <item x="39"/>
        <item x="153"/>
        <item x="208"/>
        <item x="91"/>
        <item x="98"/>
        <item x="127"/>
        <item x="92"/>
        <item x="201"/>
        <item x="93"/>
        <item x="1"/>
        <item x="13"/>
        <item x="71"/>
      </items>
    </pivotField>
    <pivotField compact="0" outline="0" showAll="0"/>
    <pivotField compact="0" outline="0" showAll="0"/>
    <pivotField axis="axisPage" compact="0" outline="0" multipleItemSelectionAllowed="1" showAll="0">
      <items count="3">
        <item x="0"/>
        <item h="1" x="1"/>
        <item t="default"/>
      </items>
    </pivotField>
    <pivotField axis="axisRow" compact="0" outline="0" showAll="0">
      <items count="3">
        <item x="0"/>
        <item x="1"/>
        <item t="default"/>
      </items>
    </pivotField>
    <pivotField compact="0" outline="0" showAll="0"/>
    <pivotField axis="axisRow" compact="0" outline="0" showAll="0" sortType="ascending">
      <items count="17">
        <item x="0"/>
        <item x="13"/>
        <item x="1"/>
        <item x="2"/>
        <item x="14"/>
        <item x="3"/>
        <item x="4"/>
        <item x="5"/>
        <item x="6"/>
        <item x="7"/>
        <item x="8"/>
        <item x="15"/>
        <item x="9"/>
        <item x="10"/>
        <item x="11"/>
        <item x="12"/>
        <item t="default"/>
      </items>
    </pivotField>
    <pivotField axis="axisRow" compact="0" outline="0" showAll="0" defaultSubtotal="0">
      <items count="6">
        <item x="4"/>
        <item x="1"/>
        <item x="2"/>
        <item x="5"/>
        <item x="3"/>
        <item x="0"/>
      </items>
    </pivotField>
    <pivotField compact="0" outline="0" showAll="0"/>
    <pivotField compact="0" outline="0" showAll="0" defaultSubtotal="0"/>
    <pivotField axis="axisRow" compact="0" outline="0" showAll="0" defaultSubtotal="0">
      <items count="14">
        <item x="1"/>
        <item x="8"/>
        <item x="7"/>
        <item x="6"/>
        <item x="13"/>
        <item x="3"/>
        <item x="9"/>
        <item x="12"/>
        <item x="2"/>
        <item x="10"/>
        <item x="11"/>
        <item x="4"/>
        <item x="5"/>
        <item x="0"/>
      </items>
    </pivotField>
    <pivotField axis="axisRow" compact="0" outline="0" showAll="0" defaultSubtotal="0">
      <items count="220">
        <item x="93"/>
        <item x="129"/>
        <item x="206"/>
        <item x="45"/>
        <item x="204"/>
        <item x="205"/>
        <item x="158"/>
        <item x="26"/>
        <item x="109"/>
        <item x="164"/>
        <item x="34"/>
        <item x="35"/>
        <item x="38"/>
        <item x="160"/>
        <item x="161"/>
        <item x="121"/>
        <item x="58"/>
        <item x="162"/>
        <item x="60"/>
        <item x="44"/>
        <item x="209"/>
        <item x="172"/>
        <item x="95"/>
        <item x="86"/>
        <item x="126"/>
        <item x="153"/>
        <item x="32"/>
        <item x="112"/>
        <item x="163"/>
        <item x="55"/>
        <item x="96"/>
        <item x="135"/>
        <item x="165"/>
        <item x="142"/>
        <item x="151"/>
        <item x="143"/>
        <item x="180"/>
        <item x="23"/>
        <item x="119"/>
        <item x="176"/>
        <item x="194"/>
        <item x="167"/>
        <item x="179"/>
        <item x="191"/>
        <item x="214"/>
        <item x="208"/>
        <item x="192"/>
        <item x="178"/>
        <item x="100"/>
        <item x="102"/>
        <item x="103"/>
        <item x="197"/>
        <item x="64"/>
        <item x="182"/>
        <item x="111"/>
        <item x="36"/>
        <item x="62"/>
        <item x="75"/>
        <item x="108"/>
        <item x="131"/>
        <item x="199"/>
        <item x="81"/>
        <item x="196"/>
        <item x="98"/>
        <item x="12"/>
        <item x="7"/>
        <item x="21"/>
        <item x="16"/>
        <item x="78"/>
        <item x="169"/>
        <item x="73"/>
        <item x="87"/>
        <item x="74"/>
        <item x="193"/>
        <item x="159"/>
        <item x="124"/>
        <item x="125"/>
        <item x="123"/>
        <item x="47"/>
        <item x="24"/>
        <item x="216"/>
        <item x="25"/>
        <item x="43"/>
        <item x="110"/>
        <item x="136"/>
        <item x="154"/>
        <item x="101"/>
        <item x="59"/>
        <item x="89"/>
        <item x="54"/>
        <item x="175"/>
        <item x="217"/>
        <item x="152"/>
        <item x="2"/>
        <item x="88"/>
        <item x="207"/>
        <item x="41"/>
        <item x="90"/>
        <item x="80"/>
        <item x="187"/>
        <item x="133"/>
        <item x="198"/>
        <item x="166"/>
        <item x="219"/>
        <item x="0"/>
        <item x="130"/>
        <item x="99"/>
        <item x="168"/>
        <item x="13"/>
        <item x="137"/>
        <item x="148"/>
        <item x="189"/>
        <item x="82"/>
        <item x="97"/>
        <item x="128"/>
        <item x="28"/>
        <item x="57"/>
        <item x="4"/>
        <item x="149"/>
        <item x="211"/>
        <item x="106"/>
        <item x="144"/>
        <item x="145"/>
        <item x="17"/>
        <item x="190"/>
        <item x="20"/>
        <item x="65"/>
        <item x="118"/>
        <item x="147"/>
        <item x="31"/>
        <item x="186"/>
        <item x="92"/>
        <item x="213"/>
        <item x="76"/>
        <item x="177"/>
        <item x="71"/>
        <item x="114"/>
        <item x="42"/>
        <item x="53"/>
        <item x="185"/>
        <item x="122"/>
        <item x="49"/>
        <item x="115"/>
        <item x="173"/>
        <item x="50"/>
        <item x="51"/>
        <item x="52"/>
        <item x="174"/>
        <item x="184"/>
        <item x="116"/>
        <item x="188"/>
        <item x="170"/>
        <item x="138"/>
        <item x="134"/>
        <item x="183"/>
        <item x="203"/>
        <item x="91"/>
        <item x="146"/>
        <item x="139"/>
        <item x="107"/>
        <item x="155"/>
        <item x="5"/>
        <item x="140"/>
        <item x="141"/>
        <item x="18"/>
        <item x="11"/>
        <item x="218"/>
        <item x="61"/>
        <item x="195"/>
        <item x="19"/>
        <item x="6"/>
        <item x="30"/>
        <item x="156"/>
        <item x="29"/>
        <item x="22"/>
        <item x="94"/>
        <item x="215"/>
        <item x="127"/>
        <item x="120"/>
        <item x="48"/>
        <item x="46"/>
        <item x="85"/>
        <item x="84"/>
        <item x="77"/>
        <item x="202"/>
        <item x="8"/>
        <item x="181"/>
        <item x="63"/>
        <item x="69"/>
        <item x="66"/>
        <item x="67"/>
        <item x="14"/>
        <item x="210"/>
        <item x="132"/>
        <item x="3"/>
        <item x="150"/>
        <item x="9"/>
        <item x="105"/>
        <item x="171"/>
        <item x="212"/>
        <item x="56"/>
        <item x="40"/>
        <item x="79"/>
        <item x="1"/>
        <item x="201"/>
        <item x="39"/>
        <item x="157"/>
        <item x="15"/>
        <item x="83"/>
        <item x="10"/>
        <item x="117"/>
        <item x="104"/>
        <item x="70"/>
        <item x="200"/>
        <item x="113"/>
        <item x="33"/>
        <item x="37"/>
        <item x="72"/>
        <item x="27"/>
        <item x="68"/>
      </items>
    </pivotField>
    <pivotField compact="0" outline="0" showAll="0"/>
    <pivotField compact="0" outline="0" showAll="0"/>
    <pivotField axis="axisRow" compact="0" outline="0" showAll="0">
      <items count="3">
        <item x="0"/>
        <item x="1"/>
        <item t="default"/>
      </items>
    </pivotField>
    <pivotField dataField="1" compact="0" outline="0" showAll="0"/>
    <pivotField compact="0" outline="0" dragToRow="0" dragToCol="0" dragToPage="0" showAll="0" defaultSubtotal="0"/>
    <pivotField dataField="1" compact="0" outline="0" dragToRow="0" dragToCol="0" dragToPage="0" showAll="0" defaultSubtotal="0"/>
  </pivotFields>
  <rowFields count="7">
    <field x="4"/>
    <field x="6"/>
    <field x="7"/>
    <field x="10"/>
    <field x="0"/>
    <field x="11"/>
    <field x="14"/>
  </rowFields>
  <rowItems count="117">
    <i>
      <x/>
      <x/>
      <x v="5"/>
      <x v="13"/>
      <x v="10"/>
      <x v="104"/>
      <x/>
    </i>
    <i t="default" r="1">
      <x/>
    </i>
    <i r="1">
      <x v="2"/>
      <x v="1"/>
      <x/>
      <x v="206"/>
      <x v="203"/>
      <x/>
    </i>
    <i r="3">
      <x v="8"/>
      <x v="18"/>
      <x v="194"/>
      <x/>
    </i>
    <i r="4">
      <x v="48"/>
      <x v="93"/>
      <x/>
    </i>
    <i r="4">
      <x v="97"/>
      <x v="117"/>
      <x/>
    </i>
    <i r="4">
      <x v="151"/>
      <x v="161"/>
      <x/>
    </i>
    <i r="4">
      <x v="163"/>
      <x v="170"/>
      <x/>
    </i>
    <i r="4">
      <x v="191"/>
      <x v="65"/>
      <x/>
    </i>
    <i r="4">
      <x v="193"/>
      <x v="185"/>
      <x/>
    </i>
    <i r="2">
      <x v="2"/>
      <x v="5"/>
      <x v="135"/>
      <x v="196"/>
      <x/>
    </i>
    <i r="4">
      <x v="140"/>
      <x v="209"/>
      <x/>
    </i>
    <i r="4">
      <x v="155"/>
      <x v="165"/>
      <x/>
    </i>
    <i r="4">
      <x v="190"/>
      <x v="64"/>
      <x/>
    </i>
    <i r="2">
      <x v="4"/>
      <x v="5"/>
      <x v="207"/>
      <x v="108"/>
      <x/>
    </i>
    <i r="3">
      <x v="8"/>
      <x v="62"/>
      <x v="191"/>
      <x/>
    </i>
    <i t="default" r="1">
      <x v="2"/>
    </i>
    <i r="1">
      <x v="3"/>
      <x v="2"/>
      <x v="11"/>
      <x v="166"/>
      <x v="207"/>
      <x/>
    </i>
    <i r="3">
      <x v="12"/>
      <x v="102"/>
      <x v="67"/>
      <x/>
    </i>
    <i r="4">
      <x v="119"/>
      <x v="123"/>
      <x/>
    </i>
    <i r="4">
      <x v="154"/>
      <x v="164"/>
      <x/>
    </i>
    <i r="4">
      <x v="162"/>
      <x v="169"/>
      <x/>
    </i>
    <i r="4">
      <x v="185"/>
      <x v="125"/>
      <x/>
    </i>
    <i r="4">
      <x v="192"/>
      <x v="66"/>
      <x/>
    </i>
    <i r="4">
      <x v="196"/>
      <x v="174"/>
      <x/>
    </i>
    <i r="2">
      <x v="4"/>
      <x v="12"/>
      <x v="69"/>
      <x v="37"/>
      <x/>
    </i>
    <i r="4">
      <x v="165"/>
      <x v="79"/>
      <x/>
    </i>
    <i t="default" r="1">
      <x v="3"/>
    </i>
    <i r="1">
      <x v="5"/>
      <x v="5"/>
      <x v="3"/>
      <x v="87"/>
      <x v="81"/>
      <x/>
    </i>
    <i r="3">
      <x v="5"/>
      <x v="21"/>
      <x v="7"/>
      <x/>
    </i>
    <i r="3">
      <x v="11"/>
      <x v="124"/>
      <x v="218"/>
      <x/>
    </i>
    <i r="4">
      <x v="133"/>
      <x v="171"/>
      <x/>
    </i>
    <i r="4">
      <x v="156"/>
      <x v="173"/>
      <x/>
    </i>
    <i r="4">
      <x v="159"/>
      <x v="115"/>
      <x/>
    </i>
    <i t="default" r="1">
      <x v="5"/>
    </i>
    <i r="1">
      <x v="6"/>
      <x v="4"/>
      <x v="12"/>
      <x v="83"/>
      <x v="129"/>
      <x/>
    </i>
    <i r="4">
      <x v="189"/>
      <x v="26"/>
      <x/>
    </i>
    <i t="default" r="1">
      <x v="6"/>
    </i>
    <i r="1">
      <x v="7"/>
      <x v="5"/>
      <x v="2"/>
      <x v="58"/>
      <x v="215"/>
      <x/>
    </i>
    <i r="3">
      <x v="11"/>
      <x v="5"/>
      <x v="10"/>
      <x/>
    </i>
    <i r="4">
      <x v="6"/>
      <x v="11"/>
      <x/>
    </i>
    <i r="4">
      <x v="47"/>
      <x v="55"/>
      <x/>
    </i>
    <i r="4">
      <x v="82"/>
      <x v="216"/>
      <x/>
    </i>
    <i r="4">
      <x v="85"/>
      <x v="12"/>
      <x/>
    </i>
    <i t="default" r="1">
      <x v="7"/>
    </i>
    <i r="1">
      <x v="8"/>
      <x v="5"/>
      <x/>
      <x v="197"/>
      <x v="205"/>
      <x v="1"/>
    </i>
    <i r="3">
      <x v="5"/>
      <x v="65"/>
      <x v="201"/>
      <x/>
    </i>
    <i r="4">
      <x v="89"/>
      <x v="96"/>
      <x/>
    </i>
    <i t="default" r="1">
      <x v="8"/>
    </i>
    <i r="1">
      <x v="9"/>
      <x v="4"/>
      <x v="11"/>
      <x v="108"/>
      <x v="137"/>
      <x/>
    </i>
    <i r="2">
      <x v="5"/>
      <x/>
      <x v="12"/>
      <x v="82"/>
      <x/>
    </i>
    <i r="4">
      <x v="14"/>
      <x v="19"/>
      <x/>
    </i>
    <i r="4">
      <x v="15"/>
      <x v="19"/>
      <x/>
    </i>
    <i r="4">
      <x v="25"/>
      <x v="3"/>
      <x/>
    </i>
    <i r="4">
      <x v="40"/>
      <x v="180"/>
      <x/>
    </i>
    <i r="3">
      <x v="2"/>
      <x v="67"/>
      <x v="78"/>
      <x/>
    </i>
    <i r="3">
      <x v="5"/>
      <x v="26"/>
      <x v="179"/>
      <x/>
    </i>
    <i r="4">
      <x v="42"/>
      <x v="141"/>
      <x/>
    </i>
    <i r="4">
      <x v="51"/>
      <x v="144"/>
      <x/>
    </i>
    <i r="4">
      <x v="52"/>
      <x v="145"/>
      <x/>
    </i>
    <i r="4">
      <x v="53"/>
      <x v="146"/>
      <x/>
    </i>
    <i r="4">
      <x v="104"/>
      <x v="138"/>
      <x/>
    </i>
    <i r="4">
      <x v="112"/>
      <x v="89"/>
      <x/>
    </i>
    <i r="3">
      <x v="11"/>
      <x v="80"/>
      <x v="29"/>
      <x/>
    </i>
    <i r="4">
      <x v="161"/>
      <x v="200"/>
      <x/>
    </i>
    <i t="default" r="1">
      <x v="9"/>
    </i>
    <i r="1">
      <x v="10"/>
      <x v="5"/>
      <x/>
      <x v="123"/>
      <x v="116"/>
      <x/>
    </i>
    <i r="3">
      <x v="3"/>
      <x v="7"/>
      <x v="16"/>
      <x/>
    </i>
    <i r="4">
      <x v="168"/>
      <x v="87"/>
      <x/>
    </i>
    <i r="4">
      <x v="169"/>
      <x v="18"/>
      <x/>
    </i>
    <i r="3">
      <x v="5"/>
      <x v="45"/>
      <x v="52"/>
      <x/>
    </i>
    <i r="4">
      <x v="71"/>
      <x v="167"/>
      <x/>
    </i>
    <i r="4">
      <x v="122"/>
      <x v="56"/>
      <x/>
    </i>
    <i r="4">
      <x v="130"/>
      <x v="126"/>
      <x/>
    </i>
    <i r="4">
      <x v="175"/>
      <x v="219"/>
      <x/>
    </i>
    <i r="4">
      <x v="180"/>
      <x v="187"/>
      <x/>
    </i>
    <i r="4">
      <x v="181"/>
      <x v="188"/>
      <x/>
    </i>
    <i r="4">
      <x v="182"/>
      <x v="189"/>
      <x/>
    </i>
    <i r="4">
      <x v="183"/>
      <x v="190"/>
      <x/>
    </i>
    <i r="4">
      <x v="184"/>
      <x v="135"/>
      <x/>
    </i>
    <i r="4">
      <x v="186"/>
      <x v="217"/>
      <x/>
    </i>
    <i r="4">
      <x v="208"/>
      <x v="212"/>
      <x/>
    </i>
    <i r="3">
      <x v="11"/>
      <x v="76"/>
      <x v="70"/>
      <x/>
    </i>
    <i r="4">
      <x v="77"/>
      <x v="72"/>
      <x/>
    </i>
    <i r="4">
      <x v="146"/>
      <x v="57"/>
      <x/>
    </i>
    <i t="default" r="1">
      <x v="10"/>
    </i>
    <i r="1">
      <x v="12"/>
      <x v="5"/>
      <x/>
      <x v="116"/>
      <x v="133"/>
      <x/>
    </i>
    <i r="4">
      <x v="141"/>
      <x v="183"/>
      <x/>
    </i>
    <i r="3">
      <x v="11"/>
      <x v="121"/>
      <x v="68"/>
      <x/>
    </i>
    <i t="default" r="1">
      <x v="12"/>
    </i>
    <i r="1">
      <x v="13"/>
      <x v="5"/>
      <x v="2"/>
      <x v="91"/>
      <x v="98"/>
      <x/>
    </i>
    <i r="4">
      <x v="93"/>
      <x v="61"/>
      <x/>
    </i>
    <i r="4">
      <x v="110"/>
      <x v="112"/>
      <x/>
    </i>
    <i r="4">
      <x v="126"/>
      <x v="202"/>
      <x/>
    </i>
    <i t="default" r="1">
      <x v="13"/>
    </i>
    <i r="1">
      <x v="14"/>
      <x v="5"/>
      <x v="1"/>
      <x v="142"/>
      <x v="208"/>
      <x/>
    </i>
    <i r="3">
      <x v="5"/>
      <x v="125"/>
      <x v="182"/>
      <x/>
    </i>
    <i r="4">
      <x v="144"/>
      <x v="181"/>
      <x/>
    </i>
    <i t="default" r="1">
      <x v="14"/>
    </i>
    <i r="1">
      <x v="15"/>
      <x v="5"/>
      <x v="5"/>
      <x v="29"/>
      <x v="23"/>
      <x/>
    </i>
    <i r="4">
      <x v="105"/>
      <x v="71"/>
      <x/>
    </i>
    <i r="3">
      <x v="6"/>
      <x v="164"/>
      <x v="94"/>
      <x/>
    </i>
    <i r="3">
      <x v="9"/>
      <x v="109"/>
      <x v="88"/>
      <x/>
    </i>
    <i r="3">
      <x v="10"/>
      <x v="200"/>
      <x v="97"/>
      <x/>
    </i>
    <i r="4">
      <x v="203"/>
      <x v="156"/>
      <x/>
    </i>
    <i r="4">
      <x v="205"/>
      <x v="131"/>
      <x/>
    </i>
    <i r="3">
      <x v="11"/>
      <x/>
      <x/>
      <x/>
    </i>
    <i r="4">
      <x v="41"/>
      <x v="175"/>
      <x/>
    </i>
    <i r="3">
      <x v="12"/>
      <x v="173"/>
      <x v="22"/>
      <x/>
    </i>
    <i t="default" r="1">
      <x v="15"/>
    </i>
    <i t="default">
      <x/>
    </i>
    <i>
      <x v="1"/>
      <x v="6"/>
      <x v="5"/>
      <x v="11"/>
      <x v="188"/>
      <x v="30"/>
      <x/>
    </i>
    <i t="default" r="1">
      <x v="6"/>
    </i>
    <i r="1">
      <x v="15"/>
      <x v="5"/>
      <x v="2"/>
      <x v="201"/>
      <x v="113"/>
      <x/>
    </i>
    <i t="default" r="1">
      <x v="15"/>
    </i>
    <i t="default">
      <x v="1"/>
    </i>
    <i t="grand">
      <x/>
    </i>
  </rowItems>
  <colFields count="1">
    <field x="-2"/>
  </colFields>
  <colItems count="3">
    <i>
      <x/>
    </i>
    <i i="1">
      <x v="1"/>
    </i>
    <i i="2">
      <x v="2"/>
    </i>
  </colItems>
  <pageFields count="1">
    <pageField fld="3" hier="-1"/>
  </pageFields>
  <dataFields count="3">
    <dataField name="Sum of Total Weight (oz)" fld="15" baseField="0" baseItem="0" numFmtId="168"/>
    <dataField name="Percentage of Total Weight (oz)" fld="15" showDataAs="percentOfTotal" baseField="0" baseItem="0" numFmtId="10"/>
    <dataField name="Sum of Total Pounds" fld="17" baseField="0" baseItem="0" numFmtId="2"/>
  </dataFields>
  <formats count="353">
    <format dxfId="356">
      <pivotArea field="4" type="button" dataOnly="0" labelOnly="1" outline="0" axis="axisRow" fieldPosition="0"/>
    </format>
    <format dxfId="355">
      <pivotArea field="6" type="button" dataOnly="0" labelOnly="1" outline="0" axis="axisRow" fieldPosition="1"/>
    </format>
    <format dxfId="354">
      <pivotArea field="7" type="button" dataOnly="0" labelOnly="1" outline="0" axis="axisRow" fieldPosition="2"/>
    </format>
    <format dxfId="353">
      <pivotArea field="10" type="button" dataOnly="0" labelOnly="1" outline="0" axis="axisRow" fieldPosition="3"/>
    </format>
    <format dxfId="352">
      <pivotArea field="0" type="button" dataOnly="0" labelOnly="1" outline="0" axis="axisRow" fieldPosition="4"/>
    </format>
    <format dxfId="351">
      <pivotArea field="14" type="button" dataOnly="0" labelOnly="1" outline="0" axis="axisRow" fieldPosition="6"/>
    </format>
    <format dxfId="350">
      <pivotArea dataOnly="0" labelOnly="1" outline="0" fieldPosition="0">
        <references count="1">
          <reference field="4294967294" count="3">
            <x v="0"/>
            <x v="1"/>
            <x v="2"/>
          </reference>
        </references>
      </pivotArea>
    </format>
    <format dxfId="349">
      <pivotArea outline="0" collapsedLevelsAreSubtotals="1" fieldPosition="0"/>
    </format>
    <format dxfId="348">
      <pivotArea field="14" type="button" dataOnly="0" labelOnly="1" outline="0" axis="axisRow" fieldPosition="6"/>
    </format>
    <format dxfId="347">
      <pivotArea dataOnly="0" labelOnly="1" outline="0" fieldPosition="0">
        <references count="1">
          <reference field="4" count="1" defaultSubtotal="1">
            <x v="0"/>
          </reference>
        </references>
      </pivotArea>
    </format>
    <format dxfId="346">
      <pivotArea dataOnly="0" labelOnly="1" outline="0" fieldPosition="0">
        <references count="1">
          <reference field="4" count="1" defaultSubtotal="1">
            <x v="1"/>
          </reference>
        </references>
      </pivotArea>
    </format>
    <format dxfId="345">
      <pivotArea dataOnly="0" labelOnly="1" grandRow="1" outline="0" fieldPosition="0"/>
    </format>
    <format dxfId="344">
      <pivotArea dataOnly="0" labelOnly="1" outline="0" fieldPosition="0">
        <references count="2">
          <reference field="4" count="1" selected="0">
            <x v="0"/>
          </reference>
          <reference field="6" count="1" defaultSubtotal="1">
            <x v="0"/>
          </reference>
        </references>
      </pivotArea>
    </format>
    <format dxfId="343">
      <pivotArea dataOnly="0" labelOnly="1" outline="0" fieldPosition="0">
        <references count="2">
          <reference field="4" count="1" selected="0">
            <x v="0"/>
          </reference>
          <reference field="6" count="1" defaultSubtotal="1">
            <x v="1"/>
          </reference>
        </references>
      </pivotArea>
    </format>
    <format dxfId="342">
      <pivotArea dataOnly="0" labelOnly="1" outline="0" fieldPosition="0">
        <references count="2">
          <reference field="4" count="1" selected="0">
            <x v="0"/>
          </reference>
          <reference field="6" count="1" defaultSubtotal="1">
            <x v="2"/>
          </reference>
        </references>
      </pivotArea>
    </format>
    <format dxfId="341">
      <pivotArea dataOnly="0" labelOnly="1" outline="0" fieldPosition="0">
        <references count="2">
          <reference field="4" count="1" selected="0">
            <x v="0"/>
          </reference>
          <reference field="6" count="1" defaultSubtotal="1">
            <x v="3"/>
          </reference>
        </references>
      </pivotArea>
    </format>
    <format dxfId="340">
      <pivotArea dataOnly="0" labelOnly="1" outline="0" fieldPosition="0">
        <references count="2">
          <reference field="4" count="1" selected="0">
            <x v="0"/>
          </reference>
          <reference field="6" count="1" defaultSubtotal="1">
            <x v="4"/>
          </reference>
        </references>
      </pivotArea>
    </format>
    <format dxfId="339">
      <pivotArea dataOnly="0" labelOnly="1" outline="0" fieldPosition="0">
        <references count="2">
          <reference field="4" count="1" selected="0">
            <x v="0"/>
          </reference>
          <reference field="6" count="1" defaultSubtotal="1">
            <x v="5"/>
          </reference>
        </references>
      </pivotArea>
    </format>
    <format dxfId="338">
      <pivotArea dataOnly="0" labelOnly="1" outline="0" fieldPosition="0">
        <references count="2">
          <reference field="4" count="1" selected="0">
            <x v="0"/>
          </reference>
          <reference field="6" count="1" defaultSubtotal="1">
            <x v="6"/>
          </reference>
        </references>
      </pivotArea>
    </format>
    <format dxfId="337">
      <pivotArea dataOnly="0" labelOnly="1" outline="0" fieldPosition="0">
        <references count="2">
          <reference field="4" count="1" selected="0">
            <x v="0"/>
          </reference>
          <reference field="6" count="1" defaultSubtotal="1">
            <x v="7"/>
          </reference>
        </references>
      </pivotArea>
    </format>
    <format dxfId="336">
      <pivotArea dataOnly="0" labelOnly="1" outline="0" fieldPosition="0">
        <references count="2">
          <reference field="4" count="1" selected="0">
            <x v="0"/>
          </reference>
          <reference field="6" count="1" defaultSubtotal="1">
            <x v="9"/>
          </reference>
        </references>
      </pivotArea>
    </format>
    <format dxfId="335">
      <pivotArea dataOnly="0" labelOnly="1" outline="0" fieldPosition="0">
        <references count="2">
          <reference field="4" count="1" selected="0">
            <x v="0"/>
          </reference>
          <reference field="6" count="1" defaultSubtotal="1">
            <x v="10"/>
          </reference>
        </references>
      </pivotArea>
    </format>
    <format dxfId="334">
      <pivotArea dataOnly="0" labelOnly="1" outline="0" fieldPosition="0">
        <references count="2">
          <reference field="4" count="1" selected="0">
            <x v="0"/>
          </reference>
          <reference field="6" count="1" defaultSubtotal="1">
            <x v="12"/>
          </reference>
        </references>
      </pivotArea>
    </format>
    <format dxfId="333">
      <pivotArea dataOnly="0" labelOnly="1" outline="0" fieldPosition="0">
        <references count="2">
          <reference field="4" count="1" selected="0">
            <x v="0"/>
          </reference>
          <reference field="6" count="1" defaultSubtotal="1">
            <x v="13"/>
          </reference>
        </references>
      </pivotArea>
    </format>
    <format dxfId="332">
      <pivotArea dataOnly="0" labelOnly="1" outline="0" fieldPosition="0">
        <references count="2">
          <reference field="4" count="1" selected="0">
            <x v="0"/>
          </reference>
          <reference field="6" count="1" defaultSubtotal="1">
            <x v="14"/>
          </reference>
        </references>
      </pivotArea>
    </format>
    <format dxfId="331">
      <pivotArea dataOnly="0" labelOnly="1" outline="0" fieldPosition="0">
        <references count="2">
          <reference field="4" count="1" selected="0">
            <x v="0"/>
          </reference>
          <reference field="6" count="1" defaultSubtotal="1">
            <x v="15"/>
          </reference>
        </references>
      </pivotArea>
    </format>
    <format dxfId="330">
      <pivotArea dataOnly="0" labelOnly="1" outline="0" fieldPosition="0">
        <references count="2">
          <reference field="4" count="1" selected="0">
            <x v="1"/>
          </reference>
          <reference field="6" count="1" defaultSubtotal="1">
            <x v="0"/>
          </reference>
        </references>
      </pivotArea>
    </format>
    <format dxfId="329">
      <pivotArea dataOnly="0" labelOnly="1" outline="0" fieldPosition="0">
        <references count="2">
          <reference field="4" count="1" selected="0">
            <x v="1"/>
          </reference>
          <reference field="6" count="1" defaultSubtotal="1">
            <x v="1"/>
          </reference>
        </references>
      </pivotArea>
    </format>
    <format dxfId="328">
      <pivotArea dataOnly="0" labelOnly="1" outline="0" fieldPosition="0">
        <references count="2">
          <reference field="4" count="1" selected="0">
            <x v="1"/>
          </reference>
          <reference field="6" count="1" defaultSubtotal="1">
            <x v="2"/>
          </reference>
        </references>
      </pivotArea>
    </format>
    <format dxfId="327">
      <pivotArea dataOnly="0" labelOnly="1" outline="0" fieldPosition="0">
        <references count="2">
          <reference field="4" count="1" selected="0">
            <x v="1"/>
          </reference>
          <reference field="6" count="1" defaultSubtotal="1">
            <x v="3"/>
          </reference>
        </references>
      </pivotArea>
    </format>
    <format dxfId="326">
      <pivotArea dataOnly="0" labelOnly="1" outline="0" fieldPosition="0">
        <references count="2">
          <reference field="4" count="1" selected="0">
            <x v="1"/>
          </reference>
          <reference field="6" count="1" defaultSubtotal="1">
            <x v="4"/>
          </reference>
        </references>
      </pivotArea>
    </format>
    <format dxfId="325">
      <pivotArea dataOnly="0" labelOnly="1" outline="0" fieldPosition="0">
        <references count="2">
          <reference field="4" count="1" selected="0">
            <x v="1"/>
          </reference>
          <reference field="6" count="1" defaultSubtotal="1">
            <x v="5"/>
          </reference>
        </references>
      </pivotArea>
    </format>
    <format dxfId="324">
      <pivotArea dataOnly="0" labelOnly="1" outline="0" fieldPosition="0">
        <references count="2">
          <reference field="4" count="1" selected="0">
            <x v="1"/>
          </reference>
          <reference field="6" count="1" defaultSubtotal="1">
            <x v="6"/>
          </reference>
        </references>
      </pivotArea>
    </format>
    <format dxfId="323">
      <pivotArea dataOnly="0" labelOnly="1" outline="0" fieldPosition="0">
        <references count="2">
          <reference field="4" count="1" selected="0">
            <x v="1"/>
          </reference>
          <reference field="6" count="1" defaultSubtotal="1">
            <x v="7"/>
          </reference>
        </references>
      </pivotArea>
    </format>
    <format dxfId="322">
      <pivotArea dataOnly="0" labelOnly="1" outline="0" fieldPosition="0">
        <references count="2">
          <reference field="4" count="1" selected="0">
            <x v="1"/>
          </reference>
          <reference field="6" count="1" defaultSubtotal="1">
            <x v="9"/>
          </reference>
        </references>
      </pivotArea>
    </format>
    <format dxfId="321">
      <pivotArea dataOnly="0" labelOnly="1" outline="0" fieldPosition="0">
        <references count="2">
          <reference field="4" count="1" selected="0">
            <x v="1"/>
          </reference>
          <reference field="6" count="1" defaultSubtotal="1">
            <x v="10"/>
          </reference>
        </references>
      </pivotArea>
    </format>
    <format dxfId="320">
      <pivotArea dataOnly="0" labelOnly="1" outline="0" fieldPosition="0">
        <references count="2">
          <reference field="4" count="1" selected="0">
            <x v="1"/>
          </reference>
          <reference field="6" count="1" defaultSubtotal="1">
            <x v="11"/>
          </reference>
        </references>
      </pivotArea>
    </format>
    <format dxfId="319">
      <pivotArea dataOnly="0" labelOnly="1" outline="0" fieldPosition="0">
        <references count="2">
          <reference field="4" count="1" selected="0">
            <x v="1"/>
          </reference>
          <reference field="6" count="1" defaultSubtotal="1">
            <x v="12"/>
          </reference>
        </references>
      </pivotArea>
    </format>
    <format dxfId="318">
      <pivotArea dataOnly="0" labelOnly="1" outline="0" fieldPosition="0">
        <references count="2">
          <reference field="4" count="1" selected="0">
            <x v="1"/>
          </reference>
          <reference field="6" count="1" defaultSubtotal="1">
            <x v="13"/>
          </reference>
        </references>
      </pivotArea>
    </format>
    <format dxfId="317">
      <pivotArea dataOnly="0" labelOnly="1" outline="0" fieldPosition="0">
        <references count="2">
          <reference field="4" count="1" selected="0">
            <x v="1"/>
          </reference>
          <reference field="6" count="1" defaultSubtotal="1">
            <x v="14"/>
          </reference>
        </references>
      </pivotArea>
    </format>
    <format dxfId="316">
      <pivotArea dataOnly="0" labelOnly="1" outline="0" fieldPosition="0">
        <references count="2">
          <reference field="4" count="1" selected="0">
            <x v="1"/>
          </reference>
          <reference field="6" count="1" defaultSubtotal="1">
            <x v="15"/>
          </reference>
        </references>
      </pivotArea>
    </format>
    <format dxfId="315">
      <pivotArea dataOnly="0" labelOnly="1" outline="0" fieldPosition="0">
        <references count="1">
          <reference field="4294967294" count="3">
            <x v="0"/>
            <x v="1"/>
            <x v="2"/>
          </reference>
        </references>
      </pivotArea>
    </format>
    <format dxfId="314">
      <pivotArea outline="0" fieldPosition="0">
        <references count="1">
          <reference field="4294967294" count="1" selected="0">
            <x v="2"/>
          </reference>
        </references>
      </pivotArea>
    </format>
    <format dxfId="313">
      <pivotArea dataOnly="0" labelOnly="1" outline="0" fieldPosition="0">
        <references count="1">
          <reference field="4294967294" count="1">
            <x v="2"/>
          </reference>
        </references>
      </pivotArea>
    </format>
    <format dxfId="312">
      <pivotArea outline="0" fieldPosition="0">
        <references count="1">
          <reference field="4294967294" count="1" selected="0">
            <x v="0"/>
          </reference>
        </references>
      </pivotArea>
    </format>
    <format dxfId="311">
      <pivotArea dataOnly="0" labelOnly="1" outline="0" fieldPosition="0">
        <references count="1">
          <reference field="4294967294" count="1">
            <x v="0"/>
          </reference>
        </references>
      </pivotArea>
    </format>
    <format dxfId="310">
      <pivotArea field="11" type="button" dataOnly="0" labelOnly="1" outline="0" axis="axisRow" fieldPosition="5"/>
    </format>
    <format dxfId="309">
      <pivotArea type="all" dataOnly="0" outline="0" fieldPosition="0"/>
    </format>
    <format dxfId="308">
      <pivotArea outline="0" collapsedLevelsAreSubtotals="1" fieldPosition="0"/>
    </format>
    <format dxfId="307">
      <pivotArea field="4" type="button" dataOnly="0" labelOnly="1" outline="0" axis="axisRow" fieldPosition="0"/>
    </format>
    <format dxfId="306">
      <pivotArea field="6" type="button" dataOnly="0" labelOnly="1" outline="0" axis="axisRow" fieldPosition="1"/>
    </format>
    <format dxfId="305">
      <pivotArea field="7" type="button" dataOnly="0" labelOnly="1" outline="0" axis="axisRow" fieldPosition="2"/>
    </format>
    <format dxfId="304">
      <pivotArea field="10" type="button" dataOnly="0" labelOnly="1" outline="0" axis="axisRow" fieldPosition="3"/>
    </format>
    <format dxfId="303">
      <pivotArea field="0" type="button" dataOnly="0" labelOnly="1" outline="0" axis="axisRow" fieldPosition="4"/>
    </format>
    <format dxfId="302">
      <pivotArea field="11" type="button" dataOnly="0" labelOnly="1" outline="0" axis="axisRow" fieldPosition="5"/>
    </format>
    <format dxfId="301">
      <pivotArea field="14" type="button" dataOnly="0" labelOnly="1" outline="0" axis="axisRow" fieldPosition="6"/>
    </format>
    <format dxfId="300">
      <pivotArea dataOnly="0" labelOnly="1" outline="0" fieldPosition="0">
        <references count="1">
          <reference field="4" count="0"/>
        </references>
      </pivotArea>
    </format>
    <format dxfId="299">
      <pivotArea dataOnly="0" labelOnly="1" outline="0" fieldPosition="0">
        <references count="1">
          <reference field="4" count="0" defaultSubtotal="1"/>
        </references>
      </pivotArea>
    </format>
    <format dxfId="298">
      <pivotArea dataOnly="0" labelOnly="1" grandRow="1" outline="0" fieldPosition="0"/>
    </format>
    <format dxfId="297">
      <pivotArea dataOnly="0" labelOnly="1" outline="0" fieldPosition="0">
        <references count="2">
          <reference field="4" count="1" selected="0">
            <x v="0"/>
          </reference>
          <reference field="6" count="13">
            <x v="0"/>
            <x v="2"/>
            <x v="3"/>
            <x v="4"/>
            <x v="5"/>
            <x v="6"/>
            <x v="7"/>
            <x v="9"/>
            <x v="10"/>
            <x v="12"/>
            <x v="13"/>
            <x v="14"/>
            <x v="15"/>
          </reference>
        </references>
      </pivotArea>
    </format>
    <format dxfId="296">
      <pivotArea dataOnly="0" labelOnly="1" outline="0" fieldPosition="0">
        <references count="2">
          <reference field="4" count="1" selected="0">
            <x v="0"/>
          </reference>
          <reference field="6" count="13" defaultSubtotal="1">
            <x v="0"/>
            <x v="2"/>
            <x v="3"/>
            <x v="4"/>
            <x v="5"/>
            <x v="6"/>
            <x v="7"/>
            <x v="9"/>
            <x v="10"/>
            <x v="12"/>
            <x v="13"/>
            <x v="14"/>
            <x v="15"/>
          </reference>
        </references>
      </pivotArea>
    </format>
    <format dxfId="295">
      <pivotArea dataOnly="0" labelOnly="1" outline="0" fieldPosition="0">
        <references count="2">
          <reference field="4" count="1" selected="0">
            <x v="1"/>
          </reference>
          <reference field="6" count="4">
            <x v="2"/>
            <x v="6"/>
            <x v="7"/>
            <x v="10"/>
          </reference>
        </references>
      </pivotArea>
    </format>
    <format dxfId="294">
      <pivotArea dataOnly="0" labelOnly="1" outline="0" fieldPosition="0">
        <references count="2">
          <reference field="4" count="1" selected="0">
            <x v="1"/>
          </reference>
          <reference field="6" count="4" defaultSubtotal="1">
            <x v="2"/>
            <x v="6"/>
            <x v="7"/>
            <x v="10"/>
          </reference>
        </references>
      </pivotArea>
    </format>
    <format dxfId="293">
      <pivotArea dataOnly="0" labelOnly="1" outline="0" fieldPosition="0">
        <references count="3">
          <reference field="4" count="1" selected="0">
            <x v="0"/>
          </reference>
          <reference field="6" count="1" selected="0">
            <x v="0"/>
          </reference>
          <reference field="7" count="1">
            <x v="5"/>
          </reference>
        </references>
      </pivotArea>
    </format>
    <format dxfId="292">
      <pivotArea dataOnly="0" labelOnly="1" outline="0" fieldPosition="0">
        <references count="3">
          <reference field="4" count="1" selected="0">
            <x v="0"/>
          </reference>
          <reference field="6" count="1" selected="0">
            <x v="2"/>
          </reference>
          <reference field="7" count="3">
            <x v="1"/>
            <x v="2"/>
            <x v="4"/>
          </reference>
        </references>
      </pivotArea>
    </format>
    <format dxfId="291">
      <pivotArea dataOnly="0" labelOnly="1" outline="0" fieldPosition="0">
        <references count="3">
          <reference field="4" count="1" selected="0">
            <x v="0"/>
          </reference>
          <reference field="6" count="1" selected="0">
            <x v="3"/>
          </reference>
          <reference field="7" count="2">
            <x v="2"/>
            <x v="4"/>
          </reference>
        </references>
      </pivotArea>
    </format>
    <format dxfId="290">
      <pivotArea dataOnly="0" labelOnly="1" outline="0" fieldPosition="0">
        <references count="3">
          <reference field="4" count="1" selected="0">
            <x v="0"/>
          </reference>
          <reference field="6" count="1" selected="0">
            <x v="4"/>
          </reference>
          <reference field="7" count="1">
            <x v="5"/>
          </reference>
        </references>
      </pivotArea>
    </format>
    <format dxfId="289">
      <pivotArea dataOnly="0" labelOnly="1" outline="0" fieldPosition="0">
        <references count="3">
          <reference field="4" count="1" selected="0">
            <x v="0"/>
          </reference>
          <reference field="6" count="1" selected="0">
            <x v="5"/>
          </reference>
          <reference field="7" count="1">
            <x v="5"/>
          </reference>
        </references>
      </pivotArea>
    </format>
    <format dxfId="288">
      <pivotArea dataOnly="0" labelOnly="1" outline="0" fieldPosition="0">
        <references count="3">
          <reference field="4" count="1" selected="0">
            <x v="0"/>
          </reference>
          <reference field="6" count="1" selected="0">
            <x v="6"/>
          </reference>
          <reference field="7" count="1">
            <x v="4"/>
          </reference>
        </references>
      </pivotArea>
    </format>
    <format dxfId="287">
      <pivotArea dataOnly="0" labelOnly="1" outline="0" fieldPosition="0">
        <references count="3">
          <reference field="4" count="1" selected="0">
            <x v="0"/>
          </reference>
          <reference field="6" count="1" selected="0">
            <x v="7"/>
          </reference>
          <reference field="7" count="1">
            <x v="5"/>
          </reference>
        </references>
      </pivotArea>
    </format>
    <format dxfId="286">
      <pivotArea dataOnly="0" labelOnly="1" outline="0" fieldPosition="0">
        <references count="3">
          <reference field="4" count="1" selected="0">
            <x v="0"/>
          </reference>
          <reference field="6" count="1" selected="0">
            <x v="9"/>
          </reference>
          <reference field="7" count="2">
            <x v="4"/>
            <x v="5"/>
          </reference>
        </references>
      </pivotArea>
    </format>
    <format dxfId="285">
      <pivotArea dataOnly="0" labelOnly="1" outline="0" fieldPosition="0">
        <references count="3">
          <reference field="4" count="1" selected="0">
            <x v="0"/>
          </reference>
          <reference field="6" count="1" selected="0">
            <x v="10"/>
          </reference>
          <reference field="7" count="1">
            <x v="5"/>
          </reference>
        </references>
      </pivotArea>
    </format>
    <format dxfId="284">
      <pivotArea dataOnly="0" labelOnly="1" outline="0" fieldPosition="0">
        <references count="3">
          <reference field="4" count="1" selected="0">
            <x v="0"/>
          </reference>
          <reference field="6" count="1" selected="0">
            <x v="12"/>
          </reference>
          <reference field="7" count="1">
            <x v="5"/>
          </reference>
        </references>
      </pivotArea>
    </format>
    <format dxfId="283">
      <pivotArea dataOnly="0" labelOnly="1" outline="0" fieldPosition="0">
        <references count="3">
          <reference field="4" count="1" selected="0">
            <x v="0"/>
          </reference>
          <reference field="6" count="1" selected="0">
            <x v="13"/>
          </reference>
          <reference field="7" count="1">
            <x v="5"/>
          </reference>
        </references>
      </pivotArea>
    </format>
    <format dxfId="282">
      <pivotArea dataOnly="0" labelOnly="1" outline="0" fieldPosition="0">
        <references count="3">
          <reference field="4" count="1" selected="0">
            <x v="0"/>
          </reference>
          <reference field="6" count="1" selected="0">
            <x v="14"/>
          </reference>
          <reference field="7" count="1">
            <x v="5"/>
          </reference>
        </references>
      </pivotArea>
    </format>
    <format dxfId="281">
      <pivotArea dataOnly="0" labelOnly="1" outline="0" fieldPosition="0">
        <references count="3">
          <reference field="4" count="1" selected="0">
            <x v="0"/>
          </reference>
          <reference field="6" count="1" selected="0">
            <x v="15"/>
          </reference>
          <reference field="7" count="1">
            <x v="5"/>
          </reference>
        </references>
      </pivotArea>
    </format>
    <format dxfId="280">
      <pivotArea dataOnly="0" labelOnly="1" outline="0" fieldPosition="0">
        <references count="3">
          <reference field="4" count="1" selected="0">
            <x v="1"/>
          </reference>
          <reference field="6" count="1" selected="0">
            <x v="2"/>
          </reference>
          <reference field="7" count="1">
            <x v="4"/>
          </reference>
        </references>
      </pivotArea>
    </format>
    <format dxfId="279">
      <pivotArea dataOnly="0" labelOnly="1" outline="0" fieldPosition="0">
        <references count="3">
          <reference field="4" count="1" selected="0">
            <x v="1"/>
          </reference>
          <reference field="6" count="1" selected="0">
            <x v="6"/>
          </reference>
          <reference field="7" count="1">
            <x v="5"/>
          </reference>
        </references>
      </pivotArea>
    </format>
    <format dxfId="278">
      <pivotArea dataOnly="0" labelOnly="1" outline="0" fieldPosition="0">
        <references count="3">
          <reference field="4" count="1" selected="0">
            <x v="1"/>
          </reference>
          <reference field="6" count="1" selected="0">
            <x v="7"/>
          </reference>
          <reference field="7" count="1">
            <x v="5"/>
          </reference>
        </references>
      </pivotArea>
    </format>
    <format dxfId="277">
      <pivotArea dataOnly="0" labelOnly="1" outline="0" fieldPosition="0">
        <references count="3">
          <reference field="4" count="1" selected="0">
            <x v="1"/>
          </reference>
          <reference field="6" count="1" selected="0">
            <x v="10"/>
          </reference>
          <reference field="7" count="1">
            <x v="5"/>
          </reference>
        </references>
      </pivotArea>
    </format>
    <format dxfId="276">
      <pivotArea dataOnly="0" labelOnly="1" outline="0" fieldPosition="0">
        <references count="4">
          <reference field="4" count="1" selected="0">
            <x v="0"/>
          </reference>
          <reference field="6" count="1" selected="0">
            <x v="0"/>
          </reference>
          <reference field="7" count="1" selected="0">
            <x v="5"/>
          </reference>
          <reference field="10" count="1">
            <x v="13"/>
          </reference>
        </references>
      </pivotArea>
    </format>
    <format dxfId="275">
      <pivotArea dataOnly="0" labelOnly="1" outline="0" fieldPosition="0">
        <references count="4">
          <reference field="4" count="1" selected="0">
            <x v="0"/>
          </reference>
          <reference field="6" count="1" selected="0">
            <x v="2"/>
          </reference>
          <reference field="7" count="1" selected="0">
            <x v="1"/>
          </reference>
          <reference field="10" count="3">
            <x v="0"/>
            <x v="5"/>
            <x v="8"/>
          </reference>
        </references>
      </pivotArea>
    </format>
    <format dxfId="274">
      <pivotArea dataOnly="0" labelOnly="1" outline="0" fieldPosition="0">
        <references count="4">
          <reference field="4" count="1" selected="0">
            <x v="0"/>
          </reference>
          <reference field="6" count="1" selected="0">
            <x v="2"/>
          </reference>
          <reference field="7" count="1" selected="0">
            <x v="2"/>
          </reference>
          <reference field="10" count="1">
            <x v="5"/>
          </reference>
        </references>
      </pivotArea>
    </format>
    <format dxfId="273">
      <pivotArea dataOnly="0" labelOnly="1" outline="0" fieldPosition="0">
        <references count="4">
          <reference field="4" count="1" selected="0">
            <x v="0"/>
          </reference>
          <reference field="6" count="1" selected="0">
            <x v="2"/>
          </reference>
          <reference field="7" count="1" selected="0">
            <x v="4"/>
          </reference>
          <reference field="10" count="1">
            <x v="8"/>
          </reference>
        </references>
      </pivotArea>
    </format>
    <format dxfId="272">
      <pivotArea dataOnly="0" labelOnly="1" outline="0" fieldPosition="0">
        <references count="4">
          <reference field="4" count="1" selected="0">
            <x v="0"/>
          </reference>
          <reference field="6" count="1" selected="0">
            <x v="3"/>
          </reference>
          <reference field="7" count="1" selected="0">
            <x v="2"/>
          </reference>
          <reference field="10" count="2">
            <x v="11"/>
            <x v="12"/>
          </reference>
        </references>
      </pivotArea>
    </format>
    <format dxfId="271">
      <pivotArea dataOnly="0" labelOnly="1" outline="0" fieldPosition="0">
        <references count="4">
          <reference field="4" count="1" selected="0">
            <x v="0"/>
          </reference>
          <reference field="6" count="1" selected="0">
            <x v="4"/>
          </reference>
          <reference field="7" count="1" selected="0">
            <x v="5"/>
          </reference>
          <reference field="10" count="2">
            <x v="0"/>
            <x v="5"/>
          </reference>
        </references>
      </pivotArea>
    </format>
    <format dxfId="270">
      <pivotArea dataOnly="0" labelOnly="1" outline="0" fieldPosition="0">
        <references count="4">
          <reference field="4" count="1" selected="0">
            <x v="0"/>
          </reference>
          <reference field="6" count="1" selected="0">
            <x v="5"/>
          </reference>
          <reference field="7" count="1" selected="0">
            <x v="5"/>
          </reference>
          <reference field="10" count="2">
            <x v="3"/>
            <x v="11"/>
          </reference>
        </references>
      </pivotArea>
    </format>
    <format dxfId="269">
      <pivotArea dataOnly="0" labelOnly="1" outline="0" fieldPosition="0">
        <references count="4">
          <reference field="4" count="1" selected="0">
            <x v="0"/>
          </reference>
          <reference field="6" count="1" selected="0">
            <x v="6"/>
          </reference>
          <reference field="7" count="1" selected="0">
            <x v="4"/>
          </reference>
          <reference field="10" count="2">
            <x v="0"/>
            <x v="12"/>
          </reference>
        </references>
      </pivotArea>
    </format>
    <format dxfId="268">
      <pivotArea dataOnly="0" labelOnly="1" outline="0" fieldPosition="0">
        <references count="4">
          <reference field="4" count="1" selected="0">
            <x v="0"/>
          </reference>
          <reference field="6" count="1" selected="0">
            <x v="7"/>
          </reference>
          <reference field="7" count="1" selected="0">
            <x v="5"/>
          </reference>
          <reference field="10" count="2">
            <x v="2"/>
            <x v="11"/>
          </reference>
        </references>
      </pivotArea>
    </format>
    <format dxfId="267">
      <pivotArea dataOnly="0" labelOnly="1" outline="0" fieldPosition="0">
        <references count="4">
          <reference field="4" count="1" selected="0">
            <x v="0"/>
          </reference>
          <reference field="6" count="1" selected="0">
            <x v="9"/>
          </reference>
          <reference field="7" count="1" selected="0">
            <x v="4"/>
          </reference>
          <reference field="10" count="1">
            <x v="11"/>
          </reference>
        </references>
      </pivotArea>
    </format>
    <format dxfId="266">
      <pivotArea dataOnly="0" labelOnly="1" outline="0" fieldPosition="0">
        <references count="4">
          <reference field="4" count="1" selected="0">
            <x v="0"/>
          </reference>
          <reference field="6" count="1" selected="0">
            <x v="9"/>
          </reference>
          <reference field="7" count="1" selected="0">
            <x v="5"/>
          </reference>
          <reference field="10" count="4">
            <x v="0"/>
            <x v="2"/>
            <x v="5"/>
            <x v="11"/>
          </reference>
        </references>
      </pivotArea>
    </format>
    <format dxfId="265">
      <pivotArea dataOnly="0" labelOnly="1" outline="0" fieldPosition="0">
        <references count="4">
          <reference field="4" count="1" selected="0">
            <x v="0"/>
          </reference>
          <reference field="6" count="1" selected="0">
            <x v="10"/>
          </reference>
          <reference field="7" count="1" selected="0">
            <x v="5"/>
          </reference>
          <reference field="10" count="4">
            <x v="0"/>
            <x v="3"/>
            <x v="5"/>
            <x v="11"/>
          </reference>
        </references>
      </pivotArea>
    </format>
    <format dxfId="264">
      <pivotArea dataOnly="0" labelOnly="1" outline="0" fieldPosition="0">
        <references count="4">
          <reference field="4" count="1" selected="0">
            <x v="0"/>
          </reference>
          <reference field="6" count="1" selected="0">
            <x v="12"/>
          </reference>
          <reference field="7" count="1" selected="0">
            <x v="5"/>
          </reference>
          <reference field="10" count="2">
            <x v="0"/>
            <x v="11"/>
          </reference>
        </references>
      </pivotArea>
    </format>
    <format dxfId="263">
      <pivotArea dataOnly="0" labelOnly="1" outline="0" fieldPosition="0">
        <references count="4">
          <reference field="4" count="1" selected="0">
            <x v="0"/>
          </reference>
          <reference field="6" count="1" selected="0">
            <x v="13"/>
          </reference>
          <reference field="7" count="1" selected="0">
            <x v="5"/>
          </reference>
          <reference field="10" count="1">
            <x v="2"/>
          </reference>
        </references>
      </pivotArea>
    </format>
    <format dxfId="262">
      <pivotArea dataOnly="0" labelOnly="1" outline="0" fieldPosition="0">
        <references count="4">
          <reference field="4" count="1" selected="0">
            <x v="0"/>
          </reference>
          <reference field="6" count="1" selected="0">
            <x v="14"/>
          </reference>
          <reference field="7" count="1" selected="0">
            <x v="5"/>
          </reference>
          <reference field="10" count="2">
            <x v="1"/>
            <x v="5"/>
          </reference>
        </references>
      </pivotArea>
    </format>
    <format dxfId="261">
      <pivotArea dataOnly="0" labelOnly="1" outline="0" fieldPosition="0">
        <references count="4">
          <reference field="4" count="1" selected="0">
            <x v="0"/>
          </reference>
          <reference field="6" count="1" selected="0">
            <x v="15"/>
          </reference>
          <reference field="7" count="1" selected="0">
            <x v="5"/>
          </reference>
          <reference field="10" count="7">
            <x v="2"/>
            <x v="5"/>
            <x v="6"/>
            <x v="9"/>
            <x v="10"/>
            <x v="11"/>
            <x v="12"/>
          </reference>
        </references>
      </pivotArea>
    </format>
    <format dxfId="260">
      <pivotArea dataOnly="0" labelOnly="1" outline="0" fieldPosition="0">
        <references count="4">
          <reference field="4" count="1" selected="0">
            <x v="1"/>
          </reference>
          <reference field="6" count="1" selected="0">
            <x v="2"/>
          </reference>
          <reference field="7" count="1" selected="0">
            <x v="4"/>
          </reference>
          <reference field="10" count="1">
            <x v="5"/>
          </reference>
        </references>
      </pivotArea>
    </format>
    <format dxfId="259">
      <pivotArea dataOnly="0" labelOnly="1" outline="0" fieldPosition="0">
        <references count="4">
          <reference field="4" count="1" selected="0">
            <x v="1"/>
          </reference>
          <reference field="6" count="1" selected="0">
            <x v="6"/>
          </reference>
          <reference field="7" count="1" selected="0">
            <x v="5"/>
          </reference>
          <reference field="10" count="1">
            <x v="11"/>
          </reference>
        </references>
      </pivotArea>
    </format>
    <format dxfId="258">
      <pivotArea dataOnly="0" labelOnly="1" outline="0" fieldPosition="0">
        <references count="4">
          <reference field="4" count="1" selected="0">
            <x v="1"/>
          </reference>
          <reference field="6" count="1" selected="0">
            <x v="7"/>
          </reference>
          <reference field="7" count="1" selected="0">
            <x v="5"/>
          </reference>
          <reference field="10" count="1">
            <x v="5"/>
          </reference>
        </references>
      </pivotArea>
    </format>
    <format dxfId="257">
      <pivotArea dataOnly="0" labelOnly="1" outline="0" fieldPosition="0">
        <references count="4">
          <reference field="4" count="1" selected="0">
            <x v="1"/>
          </reference>
          <reference field="6" count="1" selected="0">
            <x v="10"/>
          </reference>
          <reference field="7" count="1" selected="0">
            <x v="5"/>
          </reference>
          <reference field="10" count="1">
            <x v="5"/>
          </reference>
        </references>
      </pivotArea>
    </format>
    <format dxfId="256">
      <pivotArea dataOnly="0" labelOnly="1" outline="0" fieldPosition="0">
        <references count="5">
          <reference field="0" count="1">
            <x v="10"/>
          </reference>
          <reference field="4" count="1" selected="0">
            <x v="0"/>
          </reference>
          <reference field="6" count="1" selected="0">
            <x v="0"/>
          </reference>
          <reference field="7" count="1" selected="0">
            <x v="5"/>
          </reference>
          <reference field="10" count="1" selected="0">
            <x v="13"/>
          </reference>
        </references>
      </pivotArea>
    </format>
    <format dxfId="255">
      <pivotArea dataOnly="0" labelOnly="1" outline="0" fieldPosition="0">
        <references count="5">
          <reference field="0" count="1">
            <x v="206"/>
          </reference>
          <reference field="4" count="1" selected="0">
            <x v="0"/>
          </reference>
          <reference field="6" count="1" selected="0">
            <x v="2"/>
          </reference>
          <reference field="7" count="1" selected="0">
            <x v="1"/>
          </reference>
          <reference field="10" count="1" selected="0">
            <x v="0"/>
          </reference>
        </references>
      </pivotArea>
    </format>
    <format dxfId="254">
      <pivotArea dataOnly="0" labelOnly="1" outline="0" fieldPosition="0">
        <references count="5">
          <reference field="0" count="1">
            <x v="135"/>
          </reference>
          <reference field="4" count="1" selected="0">
            <x v="0"/>
          </reference>
          <reference field="6" count="1" selected="0">
            <x v="2"/>
          </reference>
          <reference field="7" count="1" selected="0">
            <x v="1"/>
          </reference>
          <reference field="10" count="1" selected="0">
            <x v="5"/>
          </reference>
        </references>
      </pivotArea>
    </format>
    <format dxfId="253">
      <pivotArea dataOnly="0" labelOnly="1" outline="0" fieldPosition="0">
        <references count="5">
          <reference field="0" count="7">
            <x v="18"/>
            <x v="48"/>
            <x v="97"/>
            <x v="149"/>
            <x v="163"/>
            <x v="191"/>
            <x v="193"/>
          </reference>
          <reference field="4" count="1" selected="0">
            <x v="0"/>
          </reference>
          <reference field="6" count="1" selected="0">
            <x v="2"/>
          </reference>
          <reference field="7" count="1" selected="0">
            <x v="1"/>
          </reference>
          <reference field="10" count="1" selected="0">
            <x v="8"/>
          </reference>
        </references>
      </pivotArea>
    </format>
    <format dxfId="252">
      <pivotArea dataOnly="0" labelOnly="1" outline="0" fieldPosition="0">
        <references count="5">
          <reference field="0" count="5">
            <x v="140"/>
            <x v="151"/>
            <x v="155"/>
            <x v="190"/>
            <x v="193"/>
          </reference>
          <reference field="4" count="1" selected="0">
            <x v="0"/>
          </reference>
          <reference field="6" count="1" selected="0">
            <x v="2"/>
          </reference>
          <reference field="7" count="1" selected="0">
            <x v="2"/>
          </reference>
          <reference field="10" count="1" selected="0">
            <x v="5"/>
          </reference>
        </references>
      </pivotArea>
    </format>
    <format dxfId="251">
      <pivotArea dataOnly="0" labelOnly="1" outline="0" fieldPosition="0">
        <references count="5">
          <reference field="0" count="1">
            <x v="207"/>
          </reference>
          <reference field="4" count="1" selected="0">
            <x v="0"/>
          </reference>
          <reference field="6" count="1" selected="0">
            <x v="2"/>
          </reference>
          <reference field="7" count="1" selected="0">
            <x v="4"/>
          </reference>
          <reference field="10" count="1" selected="0">
            <x v="5"/>
          </reference>
        </references>
      </pivotArea>
    </format>
    <format dxfId="250">
      <pivotArea dataOnly="0" labelOnly="1" outline="0" fieldPosition="0">
        <references count="5">
          <reference field="0" count="1">
            <x v="62"/>
          </reference>
          <reference field="4" count="1" selected="0">
            <x v="0"/>
          </reference>
          <reference field="6" count="1" selected="0">
            <x v="2"/>
          </reference>
          <reference field="7" count="1" selected="0">
            <x v="4"/>
          </reference>
          <reference field="10" count="1" selected="0">
            <x v="8"/>
          </reference>
        </references>
      </pivotArea>
    </format>
    <format dxfId="249">
      <pivotArea dataOnly="0" labelOnly="1" outline="0" fieldPosition="0">
        <references count="5">
          <reference field="0" count="1">
            <x v="166"/>
          </reference>
          <reference field="4" count="1" selected="0">
            <x v="0"/>
          </reference>
          <reference field="6" count="1" selected="0">
            <x v="3"/>
          </reference>
          <reference field="7" count="1" selected="0">
            <x v="2"/>
          </reference>
          <reference field="10" count="1" selected="0">
            <x v="11"/>
          </reference>
        </references>
      </pivotArea>
    </format>
    <format dxfId="248">
      <pivotArea dataOnly="0" labelOnly="1" outline="0" fieldPosition="0">
        <references count="5">
          <reference field="0" count="7">
            <x v="102"/>
            <x v="119"/>
            <x v="154"/>
            <x v="162"/>
            <x v="185"/>
            <x v="192"/>
            <x v="196"/>
          </reference>
          <reference field="4" count="1" selected="0">
            <x v="0"/>
          </reference>
          <reference field="6" count="1" selected="0">
            <x v="3"/>
          </reference>
          <reference field="7" count="1" selected="0">
            <x v="2"/>
          </reference>
          <reference field="10" count="1" selected="0">
            <x v="12"/>
          </reference>
        </references>
      </pivotArea>
    </format>
    <format dxfId="247">
      <pivotArea dataOnly="0" labelOnly="1" outline="0" fieldPosition="0">
        <references count="5">
          <reference field="0" count="2">
            <x v="69"/>
            <x v="165"/>
          </reference>
          <reference field="4" count="1" selected="0">
            <x v="0"/>
          </reference>
          <reference field="6" count="1" selected="0">
            <x v="3"/>
          </reference>
          <reference field="7" count="1" selected="0">
            <x v="4"/>
          </reference>
          <reference field="10" count="1" selected="0">
            <x v="12"/>
          </reference>
        </references>
      </pivotArea>
    </format>
    <format dxfId="246">
      <pivotArea dataOnly="0" labelOnly="1" outline="0" fieldPosition="0">
        <references count="5">
          <reference field="0" count="1">
            <x v="197"/>
          </reference>
          <reference field="4" count="1" selected="0">
            <x v="0"/>
          </reference>
          <reference field="6" count="1" selected="0">
            <x v="4"/>
          </reference>
          <reference field="7" count="1" selected="0">
            <x v="5"/>
          </reference>
          <reference field="10" count="1" selected="0">
            <x v="0"/>
          </reference>
        </references>
      </pivotArea>
    </format>
    <format dxfId="245">
      <pivotArea dataOnly="0" labelOnly="1" outline="0" fieldPosition="0">
        <references count="5">
          <reference field="0" count="3">
            <x v="65"/>
            <x v="89"/>
            <x v="194"/>
          </reference>
          <reference field="4" count="1" selected="0">
            <x v="0"/>
          </reference>
          <reference field="6" count="1" selected="0">
            <x v="4"/>
          </reference>
          <reference field="7" count="1" selected="0">
            <x v="5"/>
          </reference>
          <reference field="10" count="1" selected="0">
            <x v="5"/>
          </reference>
        </references>
      </pivotArea>
    </format>
    <format dxfId="244">
      <pivotArea dataOnly="0" labelOnly="1" outline="0" fieldPosition="0">
        <references count="5">
          <reference field="0" count="1">
            <x v="87"/>
          </reference>
          <reference field="4" count="1" selected="0">
            <x v="0"/>
          </reference>
          <reference field="6" count="1" selected="0">
            <x v="5"/>
          </reference>
          <reference field="7" count="1" selected="0">
            <x v="5"/>
          </reference>
          <reference field="10" count="1" selected="0">
            <x v="3"/>
          </reference>
        </references>
      </pivotArea>
    </format>
    <format dxfId="243">
      <pivotArea dataOnly="0" labelOnly="1" outline="0" fieldPosition="0">
        <references count="5">
          <reference field="0" count="4">
            <x v="21"/>
            <x v="133"/>
            <x v="156"/>
            <x v="159"/>
          </reference>
          <reference field="4" count="1" selected="0">
            <x v="0"/>
          </reference>
          <reference field="6" count="1" selected="0">
            <x v="5"/>
          </reference>
          <reference field="7" count="1" selected="0">
            <x v="5"/>
          </reference>
          <reference field="10" count="1" selected="0">
            <x v="11"/>
          </reference>
        </references>
      </pivotArea>
    </format>
    <format dxfId="242">
      <pivotArea dataOnly="0" labelOnly="1" outline="0" fieldPosition="0">
        <references count="5">
          <reference field="0" count="1">
            <x v="106"/>
          </reference>
          <reference field="4" count="1" selected="0">
            <x v="0"/>
          </reference>
          <reference field="6" count="1" selected="0">
            <x v="6"/>
          </reference>
          <reference field="7" count="1" selected="0">
            <x v="4"/>
          </reference>
          <reference field="10" count="1" selected="0">
            <x v="0"/>
          </reference>
        </references>
      </pivotArea>
    </format>
    <format dxfId="241">
      <pivotArea dataOnly="0" labelOnly="1" outline="0" fieldPosition="0">
        <references count="5">
          <reference field="0" count="2">
            <x v="83"/>
            <x v="189"/>
          </reference>
          <reference field="4" count="1" selected="0">
            <x v="0"/>
          </reference>
          <reference field="6" count="1" selected="0">
            <x v="6"/>
          </reference>
          <reference field="7" count="1" selected="0">
            <x v="4"/>
          </reference>
          <reference field="10" count="1" selected="0">
            <x v="12"/>
          </reference>
        </references>
      </pivotArea>
    </format>
    <format dxfId="240">
      <pivotArea dataOnly="0" labelOnly="1" outline="0" fieldPosition="0">
        <references count="5">
          <reference field="0" count="1">
            <x v="171"/>
          </reference>
          <reference field="4" count="1" selected="0">
            <x v="0"/>
          </reference>
          <reference field="6" count="1" selected="0">
            <x v="7"/>
          </reference>
          <reference field="7" count="1" selected="0">
            <x v="5"/>
          </reference>
          <reference field="10" count="1" selected="0">
            <x v="2"/>
          </reference>
        </references>
      </pivotArea>
    </format>
    <format dxfId="239">
      <pivotArea dataOnly="0" labelOnly="1" outline="0" fieldPosition="0">
        <references count="5">
          <reference field="0" count="4">
            <x v="5"/>
            <x v="6"/>
            <x v="47"/>
            <x v="85"/>
          </reference>
          <reference field="4" count="1" selected="0">
            <x v="0"/>
          </reference>
          <reference field="6" count="1" selected="0">
            <x v="7"/>
          </reference>
          <reference field="7" count="1" selected="0">
            <x v="5"/>
          </reference>
          <reference field="10" count="1" selected="0">
            <x v="11"/>
          </reference>
        </references>
      </pivotArea>
    </format>
    <format dxfId="238">
      <pivotArea dataOnly="0" labelOnly="1" outline="0" fieldPosition="0">
        <references count="5">
          <reference field="0" count="1">
            <x v="108"/>
          </reference>
          <reference field="4" count="1" selected="0">
            <x v="0"/>
          </reference>
          <reference field="6" count="1" selected="0">
            <x v="9"/>
          </reference>
          <reference field="7" count="1" selected="0">
            <x v="4"/>
          </reference>
          <reference field="10" count="1" selected="0">
            <x v="11"/>
          </reference>
        </references>
      </pivotArea>
    </format>
    <format dxfId="237">
      <pivotArea dataOnly="0" labelOnly="1" outline="0" fieldPosition="0">
        <references count="5">
          <reference field="0" count="5">
            <x v="12"/>
            <x v="14"/>
            <x v="15"/>
            <x v="25"/>
            <x v="40"/>
          </reference>
          <reference field="4" count="1" selected="0">
            <x v="0"/>
          </reference>
          <reference field="6" count="1" selected="0">
            <x v="9"/>
          </reference>
          <reference field="7" count="1" selected="0">
            <x v="5"/>
          </reference>
          <reference field="10" count="1" selected="0">
            <x v="0"/>
          </reference>
        </references>
      </pivotArea>
    </format>
    <format dxfId="236">
      <pivotArea dataOnly="0" labelOnly="1" outline="0" fieldPosition="0">
        <references count="5">
          <reference field="0" count="1">
            <x v="67"/>
          </reference>
          <reference field="4" count="1" selected="0">
            <x v="0"/>
          </reference>
          <reference field="6" count="1" selected="0">
            <x v="9"/>
          </reference>
          <reference field="7" count="1" selected="0">
            <x v="5"/>
          </reference>
          <reference field="10" count="1" selected="0">
            <x v="2"/>
          </reference>
        </references>
      </pivotArea>
    </format>
    <format dxfId="235">
      <pivotArea dataOnly="0" labelOnly="1" outline="0" fieldPosition="0">
        <references count="5">
          <reference field="0" count="9">
            <x v="26"/>
            <x v="42"/>
            <x v="51"/>
            <x v="52"/>
            <x v="53"/>
            <x v="64"/>
            <x v="80"/>
            <x v="104"/>
            <x v="112"/>
          </reference>
          <reference field="4" count="1" selected="0">
            <x v="0"/>
          </reference>
          <reference field="6" count="1" selected="0">
            <x v="9"/>
          </reference>
          <reference field="7" count="1" selected="0">
            <x v="5"/>
          </reference>
          <reference field="10" count="1" selected="0">
            <x v="5"/>
          </reference>
        </references>
      </pivotArea>
    </format>
    <format dxfId="234">
      <pivotArea dataOnly="0" labelOnly="1" outline="0" fieldPosition="0">
        <references count="5">
          <reference field="0" count="1">
            <x v="161"/>
          </reference>
          <reference field="4" count="1" selected="0">
            <x v="0"/>
          </reference>
          <reference field="6" count="1" selected="0">
            <x v="9"/>
          </reference>
          <reference field="7" count="1" selected="0">
            <x v="5"/>
          </reference>
          <reference field="10" count="1" selected="0">
            <x v="11"/>
          </reference>
        </references>
      </pivotArea>
    </format>
    <format dxfId="233">
      <pivotArea dataOnly="0" labelOnly="1" outline="0" fieldPosition="0">
        <references count="5">
          <reference field="0" count="1">
            <x v="123"/>
          </reference>
          <reference field="4" count="1" selected="0">
            <x v="0"/>
          </reference>
          <reference field="6" count="1" selected="0">
            <x v="10"/>
          </reference>
          <reference field="7" count="1" selected="0">
            <x v="5"/>
          </reference>
          <reference field="10" count="1" selected="0">
            <x v="0"/>
          </reference>
        </references>
      </pivotArea>
    </format>
    <format dxfId="232">
      <pivotArea dataOnly="0" labelOnly="1" outline="0" fieldPosition="0">
        <references count="5">
          <reference field="0" count="4">
            <x v="7"/>
            <x v="168"/>
            <x v="169"/>
            <x v="170"/>
          </reference>
          <reference field="4" count="1" selected="0">
            <x v="0"/>
          </reference>
          <reference field="6" count="1" selected="0">
            <x v="10"/>
          </reference>
          <reference field="7" count="1" selected="0">
            <x v="5"/>
          </reference>
          <reference field="10" count="1" selected="0">
            <x v="3"/>
          </reference>
        </references>
      </pivotArea>
    </format>
    <format dxfId="231">
      <pivotArea dataOnly="0" labelOnly="1" outline="0" fieldPosition="0">
        <references count="5">
          <reference field="0" count="11">
            <x v="45"/>
            <x v="71"/>
            <x v="76"/>
            <x v="122"/>
            <x v="130"/>
            <x v="180"/>
            <x v="181"/>
            <x v="182"/>
            <x v="183"/>
            <x v="184"/>
            <x v="208"/>
          </reference>
          <reference field="4" count="1" selected="0">
            <x v="0"/>
          </reference>
          <reference field="6" count="1" selected="0">
            <x v="10"/>
          </reference>
          <reference field="7" count="1" selected="0">
            <x v="5"/>
          </reference>
          <reference field="10" count="1" selected="0">
            <x v="5"/>
          </reference>
        </references>
      </pivotArea>
    </format>
    <format dxfId="230">
      <pivotArea dataOnly="0" labelOnly="1" outline="0" fieldPosition="0">
        <references count="5">
          <reference field="0" count="2">
            <x v="77"/>
            <x v="146"/>
          </reference>
          <reference field="4" count="1" selected="0">
            <x v="0"/>
          </reference>
          <reference field="6" count="1" selected="0">
            <x v="10"/>
          </reference>
          <reference field="7" count="1" selected="0">
            <x v="5"/>
          </reference>
          <reference field="10" count="1" selected="0">
            <x v="11"/>
          </reference>
        </references>
      </pivotArea>
    </format>
    <format dxfId="229">
      <pivotArea dataOnly="0" labelOnly="1" outline="0" fieldPosition="0">
        <references count="5">
          <reference field="0" count="2">
            <x v="116"/>
            <x v="141"/>
          </reference>
          <reference field="4" count="1" selected="0">
            <x v="0"/>
          </reference>
          <reference field="6" count="1" selected="0">
            <x v="12"/>
          </reference>
          <reference field="7" count="1" selected="0">
            <x v="5"/>
          </reference>
          <reference field="10" count="1" selected="0">
            <x v="0"/>
          </reference>
        </references>
      </pivotArea>
    </format>
    <format dxfId="228">
      <pivotArea dataOnly="0" labelOnly="1" outline="0" fieldPosition="0">
        <references count="5">
          <reference field="0" count="2">
            <x v="111"/>
            <x v="121"/>
          </reference>
          <reference field="4" count="1" selected="0">
            <x v="0"/>
          </reference>
          <reference field="6" count="1" selected="0">
            <x v="12"/>
          </reference>
          <reference field="7" count="1" selected="0">
            <x v="5"/>
          </reference>
          <reference field="10" count="1" selected="0">
            <x v="11"/>
          </reference>
        </references>
      </pivotArea>
    </format>
    <format dxfId="227">
      <pivotArea dataOnly="0" labelOnly="1" outline="0" fieldPosition="0">
        <references count="5">
          <reference field="0" count="4">
            <x v="91"/>
            <x v="93"/>
            <x v="110"/>
            <x v="126"/>
          </reference>
          <reference field="4" count="1" selected="0">
            <x v="0"/>
          </reference>
          <reference field="6" count="1" selected="0">
            <x v="13"/>
          </reference>
          <reference field="7" count="1" selected="0">
            <x v="5"/>
          </reference>
          <reference field="10" count="1" selected="0">
            <x v="2"/>
          </reference>
        </references>
      </pivotArea>
    </format>
    <format dxfId="226">
      <pivotArea dataOnly="0" labelOnly="1" outline="0" fieldPosition="0">
        <references count="5">
          <reference field="0" count="1">
            <x v="142"/>
          </reference>
          <reference field="4" count="1" selected="0">
            <x v="0"/>
          </reference>
          <reference field="6" count="1" selected="0">
            <x v="14"/>
          </reference>
          <reference field="7" count="1" selected="0">
            <x v="5"/>
          </reference>
          <reference field="10" count="1" selected="0">
            <x v="1"/>
          </reference>
        </references>
      </pivotArea>
    </format>
    <format dxfId="225">
      <pivotArea dataOnly="0" labelOnly="1" outline="0" fieldPosition="0">
        <references count="5">
          <reference field="0" count="2">
            <x v="125"/>
            <x v="144"/>
          </reference>
          <reference field="4" count="1" selected="0">
            <x v="0"/>
          </reference>
          <reference field="6" count="1" selected="0">
            <x v="14"/>
          </reference>
          <reference field="7" count="1" selected="0">
            <x v="5"/>
          </reference>
          <reference field="10" count="1" selected="0">
            <x v="5"/>
          </reference>
        </references>
      </pivotArea>
    </format>
    <format dxfId="224">
      <pivotArea dataOnly="0" labelOnly="1" outline="0" fieldPosition="0">
        <references count="5">
          <reference field="0" count="1">
            <x v="202"/>
          </reference>
          <reference field="4" count="1" selected="0">
            <x v="0"/>
          </reference>
          <reference field="6" count="1" selected="0">
            <x v="15"/>
          </reference>
          <reference field="7" count="1" selected="0">
            <x v="5"/>
          </reference>
          <reference field="10" count="1" selected="0">
            <x v="2"/>
          </reference>
        </references>
      </pivotArea>
    </format>
    <format dxfId="223">
      <pivotArea dataOnly="0" labelOnly="1" outline="0" fieldPosition="0">
        <references count="5">
          <reference field="0" count="2">
            <x v="29"/>
            <x v="105"/>
          </reference>
          <reference field="4" count="1" selected="0">
            <x v="0"/>
          </reference>
          <reference field="6" count="1" selected="0">
            <x v="15"/>
          </reference>
          <reference field="7" count="1" selected="0">
            <x v="5"/>
          </reference>
          <reference field="10" count="1" selected="0">
            <x v="5"/>
          </reference>
        </references>
      </pivotArea>
    </format>
    <format dxfId="222">
      <pivotArea dataOnly="0" labelOnly="1" outline="0" fieldPosition="0">
        <references count="5">
          <reference field="0" count="1">
            <x v="164"/>
          </reference>
          <reference field="4" count="1" selected="0">
            <x v="0"/>
          </reference>
          <reference field="6" count="1" selected="0">
            <x v="15"/>
          </reference>
          <reference field="7" count="1" selected="0">
            <x v="5"/>
          </reference>
          <reference field="10" count="1" selected="0">
            <x v="6"/>
          </reference>
        </references>
      </pivotArea>
    </format>
    <format dxfId="221">
      <pivotArea dataOnly="0" labelOnly="1" outline="0" fieldPosition="0">
        <references count="5">
          <reference field="0" count="1">
            <x v="109"/>
          </reference>
          <reference field="4" count="1" selected="0">
            <x v="0"/>
          </reference>
          <reference field="6" count="1" selected="0">
            <x v="15"/>
          </reference>
          <reference field="7" count="1" selected="0">
            <x v="5"/>
          </reference>
          <reference field="10" count="1" selected="0">
            <x v="9"/>
          </reference>
        </references>
      </pivotArea>
    </format>
    <format dxfId="220">
      <pivotArea dataOnly="0" labelOnly="1" outline="0" fieldPosition="0">
        <references count="5">
          <reference field="0" count="3">
            <x v="200"/>
            <x v="203"/>
            <x v="205"/>
          </reference>
          <reference field="4" count="1" selected="0">
            <x v="0"/>
          </reference>
          <reference field="6" count="1" selected="0">
            <x v="15"/>
          </reference>
          <reference field="7" count="1" selected="0">
            <x v="5"/>
          </reference>
          <reference field="10" count="1" selected="0">
            <x v="10"/>
          </reference>
        </references>
      </pivotArea>
    </format>
    <format dxfId="219">
      <pivotArea dataOnly="0" labelOnly="1" outline="0" fieldPosition="0">
        <references count="5">
          <reference field="0" count="2">
            <x v="0"/>
            <x v="41"/>
          </reference>
          <reference field="4" count="1" selected="0">
            <x v="0"/>
          </reference>
          <reference field="6" count="1" selected="0">
            <x v="15"/>
          </reference>
          <reference field="7" count="1" selected="0">
            <x v="5"/>
          </reference>
          <reference field="10" count="1" selected="0">
            <x v="11"/>
          </reference>
        </references>
      </pivotArea>
    </format>
    <format dxfId="218">
      <pivotArea dataOnly="0" labelOnly="1" outline="0" fieldPosition="0">
        <references count="5">
          <reference field="0" count="1">
            <x v="173"/>
          </reference>
          <reference field="4" count="1" selected="0">
            <x v="0"/>
          </reference>
          <reference field="6" count="1" selected="0">
            <x v="15"/>
          </reference>
          <reference field="7" count="1" selected="0">
            <x v="5"/>
          </reference>
          <reference field="10" count="1" selected="0">
            <x v="12"/>
          </reference>
        </references>
      </pivotArea>
    </format>
    <format dxfId="217">
      <pivotArea dataOnly="0" labelOnly="1" outline="0" fieldPosition="0">
        <references count="5">
          <reference field="0" count="1">
            <x v="33"/>
          </reference>
          <reference field="4" count="1" selected="0">
            <x v="1"/>
          </reference>
          <reference field="6" count="1" selected="0">
            <x v="2"/>
          </reference>
          <reference field="7" count="1" selected="0">
            <x v="4"/>
          </reference>
          <reference field="10" count="1" selected="0">
            <x v="5"/>
          </reference>
        </references>
      </pivotArea>
    </format>
    <format dxfId="216">
      <pivotArea dataOnly="0" labelOnly="1" outline="0" fieldPosition="0">
        <references count="5">
          <reference field="0" count="1">
            <x v="188"/>
          </reference>
          <reference field="4" count="1" selected="0">
            <x v="1"/>
          </reference>
          <reference field="6" count="1" selected="0">
            <x v="6"/>
          </reference>
          <reference field="7" count="1" selected="0">
            <x v="5"/>
          </reference>
          <reference field="10" count="1" selected="0">
            <x v="11"/>
          </reference>
        </references>
      </pivotArea>
    </format>
    <format dxfId="215">
      <pivotArea dataOnly="0" labelOnly="1" outline="0" fieldPosition="0">
        <references count="5">
          <reference field="0" count="1">
            <x v="4"/>
          </reference>
          <reference field="4" count="1" selected="0">
            <x v="1"/>
          </reference>
          <reference field="6" count="1" selected="0">
            <x v="7"/>
          </reference>
          <reference field="7" count="1" selected="0">
            <x v="5"/>
          </reference>
          <reference field="10" count="1" selected="0">
            <x v="5"/>
          </reference>
        </references>
      </pivotArea>
    </format>
    <format dxfId="214">
      <pivotArea dataOnly="0" labelOnly="1" outline="0" fieldPosition="0">
        <references count="5">
          <reference field="0" count="2">
            <x v="46"/>
            <x v="60"/>
          </reference>
          <reference field="4" count="1" selected="0">
            <x v="1"/>
          </reference>
          <reference field="6" count="1" selected="0">
            <x v="10"/>
          </reference>
          <reference field="7" count="1" selected="0">
            <x v="5"/>
          </reference>
          <reference field="10" count="1" selected="0">
            <x v="5"/>
          </reference>
        </references>
      </pivotArea>
    </format>
    <format dxfId="213">
      <pivotArea dataOnly="0" labelOnly="1" outline="0" fieldPosition="0">
        <references count="6">
          <reference field="0" count="1" selected="0">
            <x v="10"/>
          </reference>
          <reference field="4" count="1" selected="0">
            <x v="0"/>
          </reference>
          <reference field="6" count="1" selected="0">
            <x v="0"/>
          </reference>
          <reference field="7" count="1" selected="0">
            <x v="5"/>
          </reference>
          <reference field="10" count="1" selected="0">
            <x v="13"/>
          </reference>
          <reference field="11" count="1">
            <x v="104"/>
          </reference>
        </references>
      </pivotArea>
    </format>
    <format dxfId="212">
      <pivotArea dataOnly="0" labelOnly="1" outline="0" fieldPosition="0">
        <references count="6">
          <reference field="0" count="1" selected="0">
            <x v="206"/>
          </reference>
          <reference field="4" count="1" selected="0">
            <x v="0"/>
          </reference>
          <reference field="6" count="1" selected="0">
            <x v="2"/>
          </reference>
          <reference field="7" count="1" selected="0">
            <x v="1"/>
          </reference>
          <reference field="10" count="1" selected="0">
            <x v="0"/>
          </reference>
          <reference field="11" count="1">
            <x v="203"/>
          </reference>
        </references>
      </pivotArea>
    </format>
    <format dxfId="211">
      <pivotArea dataOnly="0" labelOnly="1" outline="0" fieldPosition="0">
        <references count="6">
          <reference field="0" count="1" selected="0">
            <x v="135"/>
          </reference>
          <reference field="4" count="1" selected="0">
            <x v="0"/>
          </reference>
          <reference field="6" count="1" selected="0">
            <x v="2"/>
          </reference>
          <reference field="7" count="1" selected="0">
            <x v="1"/>
          </reference>
          <reference field="10" count="1" selected="0">
            <x v="5"/>
          </reference>
          <reference field="11" count="1">
            <x v="196"/>
          </reference>
        </references>
      </pivotArea>
    </format>
    <format dxfId="210">
      <pivotArea dataOnly="0" labelOnly="1" outline="0" fieldPosition="0">
        <references count="6">
          <reference field="0" count="1" selected="0">
            <x v="18"/>
          </reference>
          <reference field="4" count="1" selected="0">
            <x v="0"/>
          </reference>
          <reference field="6" count="1" selected="0">
            <x v="2"/>
          </reference>
          <reference field="7" count="1" selected="0">
            <x v="1"/>
          </reference>
          <reference field="10" count="1" selected="0">
            <x v="8"/>
          </reference>
          <reference field="11" count="1">
            <x v="194"/>
          </reference>
        </references>
      </pivotArea>
    </format>
    <format dxfId="209">
      <pivotArea dataOnly="0" labelOnly="1" outline="0" fieldPosition="0">
        <references count="6">
          <reference field="0" count="1" selected="0">
            <x v="48"/>
          </reference>
          <reference field="4" count="1" selected="0">
            <x v="0"/>
          </reference>
          <reference field="6" count="1" selected="0">
            <x v="2"/>
          </reference>
          <reference field="7" count="1" selected="0">
            <x v="1"/>
          </reference>
          <reference field="10" count="1" selected="0">
            <x v="8"/>
          </reference>
          <reference field="11" count="1">
            <x v="93"/>
          </reference>
        </references>
      </pivotArea>
    </format>
    <format dxfId="208">
      <pivotArea dataOnly="0" labelOnly="1" outline="0" fieldPosition="0">
        <references count="6">
          <reference field="0" count="1" selected="0">
            <x v="97"/>
          </reference>
          <reference field="4" count="1" selected="0">
            <x v="0"/>
          </reference>
          <reference field="6" count="1" selected="0">
            <x v="2"/>
          </reference>
          <reference field="7" count="1" selected="0">
            <x v="1"/>
          </reference>
          <reference field="10" count="1" selected="0">
            <x v="8"/>
          </reference>
          <reference field="11" count="1">
            <x v="117"/>
          </reference>
        </references>
      </pivotArea>
    </format>
    <format dxfId="207">
      <pivotArea dataOnly="0" labelOnly="1" outline="0" fieldPosition="0">
        <references count="6">
          <reference field="0" count="1" selected="0">
            <x v="149"/>
          </reference>
          <reference field="4" count="1" selected="0">
            <x v="0"/>
          </reference>
          <reference field="6" count="1" selected="0">
            <x v="2"/>
          </reference>
          <reference field="7" count="1" selected="0">
            <x v="1"/>
          </reference>
          <reference field="10" count="1" selected="0">
            <x v="8"/>
          </reference>
          <reference field="11" count="1">
            <x v="159"/>
          </reference>
        </references>
      </pivotArea>
    </format>
    <format dxfId="206">
      <pivotArea dataOnly="0" labelOnly="1" outline="0" fieldPosition="0">
        <references count="6">
          <reference field="0" count="1" selected="0">
            <x v="163"/>
          </reference>
          <reference field="4" count="1" selected="0">
            <x v="0"/>
          </reference>
          <reference field="6" count="1" selected="0">
            <x v="2"/>
          </reference>
          <reference field="7" count="1" selected="0">
            <x v="1"/>
          </reference>
          <reference field="10" count="1" selected="0">
            <x v="8"/>
          </reference>
          <reference field="11" count="1">
            <x v="170"/>
          </reference>
        </references>
      </pivotArea>
    </format>
    <format dxfId="205">
      <pivotArea dataOnly="0" labelOnly="1" outline="0" fieldPosition="0">
        <references count="6">
          <reference field="0" count="1" selected="0">
            <x v="191"/>
          </reference>
          <reference field="4" count="1" selected="0">
            <x v="0"/>
          </reference>
          <reference field="6" count="1" selected="0">
            <x v="2"/>
          </reference>
          <reference field="7" count="1" selected="0">
            <x v="1"/>
          </reference>
          <reference field="10" count="1" selected="0">
            <x v="8"/>
          </reference>
          <reference field="11" count="1">
            <x v="65"/>
          </reference>
        </references>
      </pivotArea>
    </format>
    <format dxfId="204">
      <pivotArea dataOnly="0" labelOnly="1" outline="0" fieldPosition="0">
        <references count="6">
          <reference field="0" count="1" selected="0">
            <x v="193"/>
          </reference>
          <reference field="4" count="1" selected="0">
            <x v="0"/>
          </reference>
          <reference field="6" count="1" selected="0">
            <x v="2"/>
          </reference>
          <reference field="7" count="1" selected="0">
            <x v="1"/>
          </reference>
          <reference field="10" count="1" selected="0">
            <x v="8"/>
          </reference>
          <reference field="11" count="1">
            <x v="185"/>
          </reference>
        </references>
      </pivotArea>
    </format>
    <format dxfId="203">
      <pivotArea dataOnly="0" labelOnly="1" outline="0" fieldPosition="0">
        <references count="6">
          <reference field="0" count="1" selected="0">
            <x v="140"/>
          </reference>
          <reference field="4" count="1" selected="0">
            <x v="0"/>
          </reference>
          <reference field="6" count="1" selected="0">
            <x v="2"/>
          </reference>
          <reference field="7" count="1" selected="0">
            <x v="2"/>
          </reference>
          <reference field="10" count="1" selected="0">
            <x v="5"/>
          </reference>
          <reference field="11" count="1">
            <x v="209"/>
          </reference>
        </references>
      </pivotArea>
    </format>
    <format dxfId="202">
      <pivotArea dataOnly="0" labelOnly="1" outline="0" fieldPosition="0">
        <references count="6">
          <reference field="0" count="1" selected="0">
            <x v="151"/>
          </reference>
          <reference field="4" count="1" selected="0">
            <x v="0"/>
          </reference>
          <reference field="6" count="1" selected="0">
            <x v="2"/>
          </reference>
          <reference field="7" count="1" selected="0">
            <x v="2"/>
          </reference>
          <reference field="10" count="1" selected="0">
            <x v="5"/>
          </reference>
          <reference field="11" count="1">
            <x v="161"/>
          </reference>
        </references>
      </pivotArea>
    </format>
    <format dxfId="201">
      <pivotArea dataOnly="0" labelOnly="1" outline="0" fieldPosition="0">
        <references count="6">
          <reference field="0" count="1" selected="0">
            <x v="155"/>
          </reference>
          <reference field="4" count="1" selected="0">
            <x v="0"/>
          </reference>
          <reference field="6" count="1" selected="0">
            <x v="2"/>
          </reference>
          <reference field="7" count="1" selected="0">
            <x v="2"/>
          </reference>
          <reference field="10" count="1" selected="0">
            <x v="5"/>
          </reference>
          <reference field="11" count="1">
            <x v="165"/>
          </reference>
        </references>
      </pivotArea>
    </format>
    <format dxfId="200">
      <pivotArea dataOnly="0" labelOnly="1" outline="0" fieldPosition="0">
        <references count="6">
          <reference field="0" count="1" selected="0">
            <x v="190"/>
          </reference>
          <reference field="4" count="1" selected="0">
            <x v="0"/>
          </reference>
          <reference field="6" count="1" selected="0">
            <x v="2"/>
          </reference>
          <reference field="7" count="1" selected="0">
            <x v="2"/>
          </reference>
          <reference field="10" count="1" selected="0">
            <x v="5"/>
          </reference>
          <reference field="11" count="1">
            <x v="64"/>
          </reference>
        </references>
      </pivotArea>
    </format>
    <format dxfId="199">
      <pivotArea dataOnly="0" labelOnly="1" outline="0" fieldPosition="0">
        <references count="6">
          <reference field="0" count="1" selected="0">
            <x v="193"/>
          </reference>
          <reference field="4" count="1" selected="0">
            <x v="0"/>
          </reference>
          <reference field="6" count="1" selected="0">
            <x v="2"/>
          </reference>
          <reference field="7" count="1" selected="0">
            <x v="2"/>
          </reference>
          <reference field="10" count="1" selected="0">
            <x v="5"/>
          </reference>
          <reference field="11" count="1">
            <x v="185"/>
          </reference>
        </references>
      </pivotArea>
    </format>
    <format dxfId="198">
      <pivotArea dataOnly="0" labelOnly="1" outline="0" fieldPosition="0">
        <references count="6">
          <reference field="0" count="1" selected="0">
            <x v="207"/>
          </reference>
          <reference field="4" count="1" selected="0">
            <x v="0"/>
          </reference>
          <reference field="6" count="1" selected="0">
            <x v="2"/>
          </reference>
          <reference field="7" count="1" selected="0">
            <x v="4"/>
          </reference>
          <reference field="10" count="1" selected="0">
            <x v="5"/>
          </reference>
          <reference field="11" count="1">
            <x v="108"/>
          </reference>
        </references>
      </pivotArea>
    </format>
    <format dxfId="197">
      <pivotArea dataOnly="0" labelOnly="1" outline="0" fieldPosition="0">
        <references count="6">
          <reference field="0" count="1" selected="0">
            <x v="62"/>
          </reference>
          <reference field="4" count="1" selected="0">
            <x v="0"/>
          </reference>
          <reference field="6" count="1" selected="0">
            <x v="2"/>
          </reference>
          <reference field="7" count="1" selected="0">
            <x v="4"/>
          </reference>
          <reference field="10" count="1" selected="0">
            <x v="8"/>
          </reference>
          <reference field="11" count="1">
            <x v="191"/>
          </reference>
        </references>
      </pivotArea>
    </format>
    <format dxfId="196">
      <pivotArea dataOnly="0" labelOnly="1" outline="0" fieldPosition="0">
        <references count="6">
          <reference field="0" count="1" selected="0">
            <x v="166"/>
          </reference>
          <reference field="4" count="1" selected="0">
            <x v="0"/>
          </reference>
          <reference field="6" count="1" selected="0">
            <x v="3"/>
          </reference>
          <reference field="7" count="1" selected="0">
            <x v="2"/>
          </reference>
          <reference field="10" count="1" selected="0">
            <x v="11"/>
          </reference>
          <reference field="11" count="1">
            <x v="207"/>
          </reference>
        </references>
      </pivotArea>
    </format>
    <format dxfId="195">
      <pivotArea dataOnly="0" labelOnly="1" outline="0" fieldPosition="0">
        <references count="6">
          <reference field="0" count="1" selected="0">
            <x v="102"/>
          </reference>
          <reference field="4" count="1" selected="0">
            <x v="0"/>
          </reference>
          <reference field="6" count="1" selected="0">
            <x v="3"/>
          </reference>
          <reference field="7" count="1" selected="0">
            <x v="2"/>
          </reference>
          <reference field="10" count="1" selected="0">
            <x v="12"/>
          </reference>
          <reference field="11" count="1">
            <x v="67"/>
          </reference>
        </references>
      </pivotArea>
    </format>
    <format dxfId="194">
      <pivotArea dataOnly="0" labelOnly="1" outline="0" fieldPosition="0">
        <references count="6">
          <reference field="0" count="1" selected="0">
            <x v="119"/>
          </reference>
          <reference field="4" count="1" selected="0">
            <x v="0"/>
          </reference>
          <reference field="6" count="1" selected="0">
            <x v="3"/>
          </reference>
          <reference field="7" count="1" selected="0">
            <x v="2"/>
          </reference>
          <reference field="10" count="1" selected="0">
            <x v="12"/>
          </reference>
          <reference field="11" count="1">
            <x v="123"/>
          </reference>
        </references>
      </pivotArea>
    </format>
    <format dxfId="193">
      <pivotArea dataOnly="0" labelOnly="1" outline="0" fieldPosition="0">
        <references count="6">
          <reference field="0" count="1" selected="0">
            <x v="154"/>
          </reference>
          <reference field="4" count="1" selected="0">
            <x v="0"/>
          </reference>
          <reference field="6" count="1" selected="0">
            <x v="3"/>
          </reference>
          <reference field="7" count="1" selected="0">
            <x v="2"/>
          </reference>
          <reference field="10" count="1" selected="0">
            <x v="12"/>
          </reference>
          <reference field="11" count="1">
            <x v="164"/>
          </reference>
        </references>
      </pivotArea>
    </format>
    <format dxfId="192">
      <pivotArea dataOnly="0" labelOnly="1" outline="0" fieldPosition="0">
        <references count="6">
          <reference field="0" count="1" selected="0">
            <x v="162"/>
          </reference>
          <reference field="4" count="1" selected="0">
            <x v="0"/>
          </reference>
          <reference field="6" count="1" selected="0">
            <x v="3"/>
          </reference>
          <reference field="7" count="1" selected="0">
            <x v="2"/>
          </reference>
          <reference field="10" count="1" selected="0">
            <x v="12"/>
          </reference>
          <reference field="11" count="1">
            <x v="169"/>
          </reference>
        </references>
      </pivotArea>
    </format>
    <format dxfId="191">
      <pivotArea dataOnly="0" labelOnly="1" outline="0" fieldPosition="0">
        <references count="6">
          <reference field="0" count="1" selected="0">
            <x v="185"/>
          </reference>
          <reference field="4" count="1" selected="0">
            <x v="0"/>
          </reference>
          <reference field="6" count="1" selected="0">
            <x v="3"/>
          </reference>
          <reference field="7" count="1" selected="0">
            <x v="2"/>
          </reference>
          <reference field="10" count="1" selected="0">
            <x v="12"/>
          </reference>
          <reference field="11" count="1">
            <x v="125"/>
          </reference>
        </references>
      </pivotArea>
    </format>
    <format dxfId="190">
      <pivotArea dataOnly="0" labelOnly="1" outline="0" fieldPosition="0">
        <references count="6">
          <reference field="0" count="1" selected="0">
            <x v="192"/>
          </reference>
          <reference field="4" count="1" selected="0">
            <x v="0"/>
          </reference>
          <reference field="6" count="1" selected="0">
            <x v="3"/>
          </reference>
          <reference field="7" count="1" selected="0">
            <x v="2"/>
          </reference>
          <reference field="10" count="1" selected="0">
            <x v="12"/>
          </reference>
          <reference field="11" count="1">
            <x v="66"/>
          </reference>
        </references>
      </pivotArea>
    </format>
    <format dxfId="189">
      <pivotArea dataOnly="0" labelOnly="1" outline="0" fieldPosition="0">
        <references count="6">
          <reference field="0" count="1" selected="0">
            <x v="196"/>
          </reference>
          <reference field="4" count="1" selected="0">
            <x v="0"/>
          </reference>
          <reference field="6" count="1" selected="0">
            <x v="3"/>
          </reference>
          <reference field="7" count="1" selected="0">
            <x v="2"/>
          </reference>
          <reference field="10" count="1" selected="0">
            <x v="12"/>
          </reference>
          <reference field="11" count="1">
            <x v="174"/>
          </reference>
        </references>
      </pivotArea>
    </format>
    <format dxfId="188">
      <pivotArea dataOnly="0" labelOnly="1" outline="0" fieldPosition="0">
        <references count="6">
          <reference field="0" count="1" selected="0">
            <x v="69"/>
          </reference>
          <reference field="4" count="1" selected="0">
            <x v="0"/>
          </reference>
          <reference field="6" count="1" selected="0">
            <x v="3"/>
          </reference>
          <reference field="7" count="1" selected="0">
            <x v="4"/>
          </reference>
          <reference field="10" count="1" selected="0">
            <x v="12"/>
          </reference>
          <reference field="11" count="1">
            <x v="37"/>
          </reference>
        </references>
      </pivotArea>
    </format>
    <format dxfId="187">
      <pivotArea dataOnly="0" labelOnly="1" outline="0" fieldPosition="0">
        <references count="6">
          <reference field="0" count="1" selected="0">
            <x v="165"/>
          </reference>
          <reference field="4" count="1" selected="0">
            <x v="0"/>
          </reference>
          <reference field="6" count="1" selected="0">
            <x v="3"/>
          </reference>
          <reference field="7" count="1" selected="0">
            <x v="4"/>
          </reference>
          <reference field="10" count="1" selected="0">
            <x v="12"/>
          </reference>
          <reference field="11" count="1">
            <x v="79"/>
          </reference>
        </references>
      </pivotArea>
    </format>
    <format dxfId="186">
      <pivotArea dataOnly="0" labelOnly="1" outline="0" fieldPosition="0">
        <references count="6">
          <reference field="0" count="1" selected="0">
            <x v="197"/>
          </reference>
          <reference field="4" count="1" selected="0">
            <x v="0"/>
          </reference>
          <reference field="6" count="1" selected="0">
            <x v="4"/>
          </reference>
          <reference field="7" count="1" selected="0">
            <x v="5"/>
          </reference>
          <reference field="10" count="1" selected="0">
            <x v="0"/>
          </reference>
          <reference field="11" count="1">
            <x v="205"/>
          </reference>
        </references>
      </pivotArea>
    </format>
    <format dxfId="185">
      <pivotArea dataOnly="0" labelOnly="1" outline="0" fieldPosition="0">
        <references count="6">
          <reference field="0" count="1" selected="0">
            <x v="65"/>
          </reference>
          <reference field="4" count="1" selected="0">
            <x v="0"/>
          </reference>
          <reference field="6" count="1" selected="0">
            <x v="4"/>
          </reference>
          <reference field="7" count="1" selected="0">
            <x v="5"/>
          </reference>
          <reference field="10" count="1" selected="0">
            <x v="5"/>
          </reference>
          <reference field="11" count="1">
            <x v="201"/>
          </reference>
        </references>
      </pivotArea>
    </format>
    <format dxfId="184">
      <pivotArea dataOnly="0" labelOnly="1" outline="0" fieldPosition="0">
        <references count="6">
          <reference field="0" count="1" selected="0">
            <x v="89"/>
          </reference>
          <reference field="4" count="1" selected="0">
            <x v="0"/>
          </reference>
          <reference field="6" count="1" selected="0">
            <x v="4"/>
          </reference>
          <reference field="7" count="1" selected="0">
            <x v="5"/>
          </reference>
          <reference field="10" count="1" selected="0">
            <x v="5"/>
          </reference>
          <reference field="11" count="1">
            <x v="96"/>
          </reference>
        </references>
      </pivotArea>
    </format>
    <format dxfId="183">
      <pivotArea dataOnly="0" labelOnly="1" outline="0" fieldPosition="0">
        <references count="6">
          <reference field="0" count="1" selected="0">
            <x v="194"/>
          </reference>
          <reference field="4" count="1" selected="0">
            <x v="0"/>
          </reference>
          <reference field="6" count="1" selected="0">
            <x v="4"/>
          </reference>
          <reference field="7" count="1" selected="0">
            <x v="5"/>
          </reference>
          <reference field="10" count="1" selected="0">
            <x v="5"/>
          </reference>
          <reference field="11" count="1">
            <x v="8"/>
          </reference>
        </references>
      </pivotArea>
    </format>
    <format dxfId="182">
      <pivotArea dataOnly="0" labelOnly="1" outline="0" fieldPosition="0">
        <references count="6">
          <reference field="0" count="1" selected="0">
            <x v="87"/>
          </reference>
          <reference field="4" count="1" selected="0">
            <x v="0"/>
          </reference>
          <reference field="6" count="1" selected="0">
            <x v="5"/>
          </reference>
          <reference field="7" count="1" selected="0">
            <x v="5"/>
          </reference>
          <reference field="10" count="1" selected="0">
            <x v="3"/>
          </reference>
          <reference field="11" count="1">
            <x v="81"/>
          </reference>
        </references>
      </pivotArea>
    </format>
    <format dxfId="181">
      <pivotArea dataOnly="0" labelOnly="1" outline="0" fieldPosition="0">
        <references count="6">
          <reference field="0" count="1" selected="0">
            <x v="21"/>
          </reference>
          <reference field="4" count="1" selected="0">
            <x v="0"/>
          </reference>
          <reference field="6" count="1" selected="0">
            <x v="5"/>
          </reference>
          <reference field="7" count="1" selected="0">
            <x v="5"/>
          </reference>
          <reference field="10" count="1" selected="0">
            <x v="11"/>
          </reference>
          <reference field="11" count="1">
            <x v="7"/>
          </reference>
        </references>
      </pivotArea>
    </format>
    <format dxfId="180">
      <pivotArea dataOnly="0" labelOnly="1" outline="0" fieldPosition="0">
        <references count="6">
          <reference field="0" count="1" selected="0">
            <x v="133"/>
          </reference>
          <reference field="4" count="1" selected="0">
            <x v="0"/>
          </reference>
          <reference field="6" count="1" selected="0">
            <x v="5"/>
          </reference>
          <reference field="7" count="1" selected="0">
            <x v="5"/>
          </reference>
          <reference field="10" count="1" selected="0">
            <x v="11"/>
          </reference>
          <reference field="11" count="1">
            <x v="171"/>
          </reference>
        </references>
      </pivotArea>
    </format>
    <format dxfId="179">
      <pivotArea dataOnly="0" labelOnly="1" outline="0" fieldPosition="0">
        <references count="6">
          <reference field="0" count="1" selected="0">
            <x v="156"/>
          </reference>
          <reference field="4" count="1" selected="0">
            <x v="0"/>
          </reference>
          <reference field="6" count="1" selected="0">
            <x v="5"/>
          </reference>
          <reference field="7" count="1" selected="0">
            <x v="5"/>
          </reference>
          <reference field="10" count="1" selected="0">
            <x v="11"/>
          </reference>
          <reference field="11" count="1">
            <x v="173"/>
          </reference>
        </references>
      </pivotArea>
    </format>
    <format dxfId="178">
      <pivotArea dataOnly="0" labelOnly="1" outline="0" fieldPosition="0">
        <references count="6">
          <reference field="0" count="1" selected="0">
            <x v="159"/>
          </reference>
          <reference field="4" count="1" selected="0">
            <x v="0"/>
          </reference>
          <reference field="6" count="1" selected="0">
            <x v="5"/>
          </reference>
          <reference field="7" count="1" selected="0">
            <x v="5"/>
          </reference>
          <reference field="10" count="1" selected="0">
            <x v="11"/>
          </reference>
          <reference field="11" count="1">
            <x v="115"/>
          </reference>
        </references>
      </pivotArea>
    </format>
    <format dxfId="177">
      <pivotArea dataOnly="0" labelOnly="1" outline="0" fieldPosition="0">
        <references count="6">
          <reference field="0" count="1" selected="0">
            <x v="106"/>
          </reference>
          <reference field="4" count="1" selected="0">
            <x v="0"/>
          </reference>
          <reference field="6" count="1" selected="0">
            <x v="6"/>
          </reference>
          <reference field="7" count="1" selected="0">
            <x v="4"/>
          </reference>
          <reference field="10" count="1" selected="0">
            <x v="0"/>
          </reference>
          <reference field="11" count="1">
            <x v="83"/>
          </reference>
        </references>
      </pivotArea>
    </format>
    <format dxfId="176">
      <pivotArea dataOnly="0" labelOnly="1" outline="0" fieldPosition="0">
        <references count="6">
          <reference field="0" count="1" selected="0">
            <x v="83"/>
          </reference>
          <reference field="4" count="1" selected="0">
            <x v="0"/>
          </reference>
          <reference field="6" count="1" selected="0">
            <x v="6"/>
          </reference>
          <reference field="7" count="1" selected="0">
            <x v="4"/>
          </reference>
          <reference field="10" count="1" selected="0">
            <x v="12"/>
          </reference>
          <reference field="11" count="1">
            <x v="129"/>
          </reference>
        </references>
      </pivotArea>
    </format>
    <format dxfId="175">
      <pivotArea dataOnly="0" labelOnly="1" outline="0" fieldPosition="0">
        <references count="6">
          <reference field="0" count="1" selected="0">
            <x v="189"/>
          </reference>
          <reference field="4" count="1" selected="0">
            <x v="0"/>
          </reference>
          <reference field="6" count="1" selected="0">
            <x v="6"/>
          </reference>
          <reference field="7" count="1" selected="0">
            <x v="4"/>
          </reference>
          <reference field="10" count="1" selected="0">
            <x v="12"/>
          </reference>
          <reference field="11" count="1">
            <x v="26"/>
          </reference>
        </references>
      </pivotArea>
    </format>
    <format dxfId="174">
      <pivotArea dataOnly="0" labelOnly="1" outline="0" fieldPosition="0">
        <references count="6">
          <reference field="0" count="1" selected="0">
            <x v="5"/>
          </reference>
          <reference field="4" count="1" selected="0">
            <x v="0"/>
          </reference>
          <reference field="6" count="1" selected="0">
            <x v="7"/>
          </reference>
          <reference field="7" count="1" selected="0">
            <x v="5"/>
          </reference>
          <reference field="10" count="1" selected="0">
            <x v="11"/>
          </reference>
          <reference field="11" count="1">
            <x v="10"/>
          </reference>
        </references>
      </pivotArea>
    </format>
    <format dxfId="173">
      <pivotArea dataOnly="0" labelOnly="1" outline="0" fieldPosition="0">
        <references count="6">
          <reference field="0" count="1" selected="0">
            <x v="6"/>
          </reference>
          <reference field="4" count="1" selected="0">
            <x v="0"/>
          </reference>
          <reference field="6" count="1" selected="0">
            <x v="7"/>
          </reference>
          <reference field="7" count="1" selected="0">
            <x v="5"/>
          </reference>
          <reference field="10" count="1" selected="0">
            <x v="11"/>
          </reference>
          <reference field="11" count="1">
            <x v="11"/>
          </reference>
        </references>
      </pivotArea>
    </format>
    <format dxfId="172">
      <pivotArea dataOnly="0" labelOnly="1" outline="0" fieldPosition="0">
        <references count="6">
          <reference field="0" count="1" selected="0">
            <x v="47"/>
          </reference>
          <reference field="4" count="1" selected="0">
            <x v="0"/>
          </reference>
          <reference field="6" count="1" selected="0">
            <x v="7"/>
          </reference>
          <reference field="7" count="1" selected="0">
            <x v="5"/>
          </reference>
          <reference field="10" count="1" selected="0">
            <x v="11"/>
          </reference>
          <reference field="11" count="1">
            <x v="55"/>
          </reference>
        </references>
      </pivotArea>
    </format>
    <format dxfId="171">
      <pivotArea dataOnly="0" labelOnly="1" outline="0" fieldPosition="0">
        <references count="6">
          <reference field="0" count="1" selected="0">
            <x v="85"/>
          </reference>
          <reference field="4" count="1" selected="0">
            <x v="0"/>
          </reference>
          <reference field="6" count="1" selected="0">
            <x v="7"/>
          </reference>
          <reference field="7" count="1" selected="0">
            <x v="5"/>
          </reference>
          <reference field="10" count="1" selected="0">
            <x v="11"/>
          </reference>
          <reference field="11" count="1">
            <x v="12"/>
          </reference>
        </references>
      </pivotArea>
    </format>
    <format dxfId="170">
      <pivotArea dataOnly="0" labelOnly="1" outline="0" fieldPosition="0">
        <references count="6">
          <reference field="0" count="1" selected="0">
            <x v="108"/>
          </reference>
          <reference field="4" count="1" selected="0">
            <x v="0"/>
          </reference>
          <reference field="6" count="1" selected="0">
            <x v="9"/>
          </reference>
          <reference field="7" count="1" selected="0">
            <x v="4"/>
          </reference>
          <reference field="10" count="1" selected="0">
            <x v="11"/>
          </reference>
          <reference field="11" count="1">
            <x v="137"/>
          </reference>
        </references>
      </pivotArea>
    </format>
    <format dxfId="169">
      <pivotArea dataOnly="0" labelOnly="1" outline="0" fieldPosition="0">
        <references count="6">
          <reference field="0" count="1" selected="0">
            <x v="12"/>
          </reference>
          <reference field="4" count="1" selected="0">
            <x v="0"/>
          </reference>
          <reference field="6" count="1" selected="0">
            <x v="9"/>
          </reference>
          <reference field="7" count="1" selected="0">
            <x v="5"/>
          </reference>
          <reference field="10" count="1" selected="0">
            <x v="0"/>
          </reference>
          <reference field="11" count="1">
            <x v="82"/>
          </reference>
        </references>
      </pivotArea>
    </format>
    <format dxfId="168">
      <pivotArea dataOnly="0" labelOnly="1" outline="0" fieldPosition="0">
        <references count="6">
          <reference field="0" count="1" selected="0">
            <x v="14"/>
          </reference>
          <reference field="4" count="1" selected="0">
            <x v="0"/>
          </reference>
          <reference field="6" count="1" selected="0">
            <x v="9"/>
          </reference>
          <reference field="7" count="1" selected="0">
            <x v="5"/>
          </reference>
          <reference field="10" count="1" selected="0">
            <x v="0"/>
          </reference>
          <reference field="11" count="1">
            <x v="19"/>
          </reference>
        </references>
      </pivotArea>
    </format>
    <format dxfId="167">
      <pivotArea dataOnly="0" labelOnly="1" outline="0" fieldPosition="0">
        <references count="6">
          <reference field="0" count="1" selected="0">
            <x v="25"/>
          </reference>
          <reference field="4" count="1" selected="0">
            <x v="0"/>
          </reference>
          <reference field="6" count="1" selected="0">
            <x v="9"/>
          </reference>
          <reference field="7" count="1" selected="0">
            <x v="5"/>
          </reference>
          <reference field="10" count="1" selected="0">
            <x v="0"/>
          </reference>
          <reference field="11" count="1">
            <x v="3"/>
          </reference>
        </references>
      </pivotArea>
    </format>
    <format dxfId="166">
      <pivotArea dataOnly="0" labelOnly="1" outline="0" fieldPosition="0">
        <references count="6">
          <reference field="0" count="1" selected="0">
            <x v="40"/>
          </reference>
          <reference field="4" count="1" selected="0">
            <x v="0"/>
          </reference>
          <reference field="6" count="1" selected="0">
            <x v="9"/>
          </reference>
          <reference field="7" count="1" selected="0">
            <x v="5"/>
          </reference>
          <reference field="10" count="1" selected="0">
            <x v="0"/>
          </reference>
          <reference field="11" count="1">
            <x v="180"/>
          </reference>
        </references>
      </pivotArea>
    </format>
    <format dxfId="165">
      <pivotArea dataOnly="0" labelOnly="1" outline="0" fieldPosition="0">
        <references count="6">
          <reference field="0" count="1" selected="0">
            <x v="67"/>
          </reference>
          <reference field="4" count="1" selected="0">
            <x v="0"/>
          </reference>
          <reference field="6" count="1" selected="0">
            <x v="9"/>
          </reference>
          <reference field="7" count="1" selected="0">
            <x v="5"/>
          </reference>
          <reference field="10" count="1" selected="0">
            <x v="2"/>
          </reference>
          <reference field="11" count="1">
            <x v="78"/>
          </reference>
        </references>
      </pivotArea>
    </format>
    <format dxfId="164">
      <pivotArea dataOnly="0" labelOnly="1" outline="0" fieldPosition="0">
        <references count="6">
          <reference field="0" count="1" selected="0">
            <x v="26"/>
          </reference>
          <reference field="4" count="1" selected="0">
            <x v="0"/>
          </reference>
          <reference field="6" count="1" selected="0">
            <x v="9"/>
          </reference>
          <reference field="7" count="1" selected="0">
            <x v="5"/>
          </reference>
          <reference field="10" count="1" selected="0">
            <x v="5"/>
          </reference>
          <reference field="11" count="1">
            <x v="179"/>
          </reference>
        </references>
      </pivotArea>
    </format>
    <format dxfId="163">
      <pivotArea dataOnly="0" labelOnly="1" outline="0" fieldPosition="0">
        <references count="6">
          <reference field="0" count="1" selected="0">
            <x v="42"/>
          </reference>
          <reference field="4" count="1" selected="0">
            <x v="0"/>
          </reference>
          <reference field="6" count="1" selected="0">
            <x v="9"/>
          </reference>
          <reference field="7" count="1" selected="0">
            <x v="5"/>
          </reference>
          <reference field="10" count="1" selected="0">
            <x v="5"/>
          </reference>
          <reference field="11" count="1">
            <x v="141"/>
          </reference>
        </references>
      </pivotArea>
    </format>
    <format dxfId="162">
      <pivotArea dataOnly="0" labelOnly="1" outline="0" fieldPosition="0">
        <references count="6">
          <reference field="0" count="1" selected="0">
            <x v="51"/>
          </reference>
          <reference field="4" count="1" selected="0">
            <x v="0"/>
          </reference>
          <reference field="6" count="1" selected="0">
            <x v="9"/>
          </reference>
          <reference field="7" count="1" selected="0">
            <x v="5"/>
          </reference>
          <reference field="10" count="1" selected="0">
            <x v="5"/>
          </reference>
          <reference field="11" count="1">
            <x v="144"/>
          </reference>
        </references>
      </pivotArea>
    </format>
    <format dxfId="161">
      <pivotArea dataOnly="0" labelOnly="1" outline="0" fieldPosition="0">
        <references count="6">
          <reference field="0" count="1" selected="0">
            <x v="52"/>
          </reference>
          <reference field="4" count="1" selected="0">
            <x v="0"/>
          </reference>
          <reference field="6" count="1" selected="0">
            <x v="9"/>
          </reference>
          <reference field="7" count="1" selected="0">
            <x v="5"/>
          </reference>
          <reference field="10" count="1" selected="0">
            <x v="5"/>
          </reference>
          <reference field="11" count="1">
            <x v="145"/>
          </reference>
        </references>
      </pivotArea>
    </format>
    <format dxfId="160">
      <pivotArea dataOnly="0" labelOnly="1" outline="0" fieldPosition="0">
        <references count="6">
          <reference field="0" count="1" selected="0">
            <x v="53"/>
          </reference>
          <reference field="4" count="1" selected="0">
            <x v="0"/>
          </reference>
          <reference field="6" count="1" selected="0">
            <x v="9"/>
          </reference>
          <reference field="7" count="1" selected="0">
            <x v="5"/>
          </reference>
          <reference field="10" count="1" selected="0">
            <x v="5"/>
          </reference>
          <reference field="11" count="1">
            <x v="146"/>
          </reference>
        </references>
      </pivotArea>
    </format>
    <format dxfId="159">
      <pivotArea dataOnly="0" labelOnly="1" outline="0" fieldPosition="0">
        <references count="6">
          <reference field="0" count="1" selected="0">
            <x v="64"/>
          </reference>
          <reference field="4" count="1" selected="0">
            <x v="0"/>
          </reference>
          <reference field="6" count="1" selected="0">
            <x v="9"/>
          </reference>
          <reference field="7" count="1" selected="0">
            <x v="5"/>
          </reference>
          <reference field="10" count="1" selected="0">
            <x v="5"/>
          </reference>
          <reference field="11" count="1">
            <x v="136"/>
          </reference>
        </references>
      </pivotArea>
    </format>
    <format dxfId="158">
      <pivotArea dataOnly="0" labelOnly="1" outline="0" fieldPosition="0">
        <references count="6">
          <reference field="0" count="1" selected="0">
            <x v="80"/>
          </reference>
          <reference field="4" count="1" selected="0">
            <x v="0"/>
          </reference>
          <reference field="6" count="1" selected="0">
            <x v="9"/>
          </reference>
          <reference field="7" count="1" selected="0">
            <x v="5"/>
          </reference>
          <reference field="10" count="1" selected="0">
            <x v="5"/>
          </reference>
          <reference field="11" count="1">
            <x v="29"/>
          </reference>
        </references>
      </pivotArea>
    </format>
    <format dxfId="157">
      <pivotArea dataOnly="0" labelOnly="1" outline="0" fieldPosition="0">
        <references count="6">
          <reference field="0" count="1" selected="0">
            <x v="104"/>
          </reference>
          <reference field="4" count="1" selected="0">
            <x v="0"/>
          </reference>
          <reference field="6" count="1" selected="0">
            <x v="9"/>
          </reference>
          <reference field="7" count="1" selected="0">
            <x v="5"/>
          </reference>
          <reference field="10" count="1" selected="0">
            <x v="5"/>
          </reference>
          <reference field="11" count="1">
            <x v="138"/>
          </reference>
        </references>
      </pivotArea>
    </format>
    <format dxfId="156">
      <pivotArea dataOnly="0" labelOnly="1" outline="0" fieldPosition="0">
        <references count="6">
          <reference field="0" count="1" selected="0">
            <x v="112"/>
          </reference>
          <reference field="4" count="1" selected="0">
            <x v="0"/>
          </reference>
          <reference field="6" count="1" selected="0">
            <x v="9"/>
          </reference>
          <reference field="7" count="1" selected="0">
            <x v="5"/>
          </reference>
          <reference field="10" count="1" selected="0">
            <x v="5"/>
          </reference>
          <reference field="11" count="1">
            <x v="89"/>
          </reference>
        </references>
      </pivotArea>
    </format>
    <format dxfId="155">
      <pivotArea dataOnly="0" labelOnly="1" outline="0" fieldPosition="0">
        <references count="6">
          <reference field="0" count="1" selected="0">
            <x v="161"/>
          </reference>
          <reference field="4" count="1" selected="0">
            <x v="0"/>
          </reference>
          <reference field="6" count="1" selected="0">
            <x v="9"/>
          </reference>
          <reference field="7" count="1" selected="0">
            <x v="5"/>
          </reference>
          <reference field="10" count="1" selected="0">
            <x v="11"/>
          </reference>
          <reference field="11" count="1">
            <x v="200"/>
          </reference>
        </references>
      </pivotArea>
    </format>
    <format dxfId="154">
      <pivotArea dataOnly="0" labelOnly="1" outline="0" fieldPosition="0">
        <references count="6">
          <reference field="0" count="1" selected="0">
            <x v="123"/>
          </reference>
          <reference field="4" count="1" selected="0">
            <x v="0"/>
          </reference>
          <reference field="6" count="1" selected="0">
            <x v="10"/>
          </reference>
          <reference field="7" count="1" selected="0">
            <x v="5"/>
          </reference>
          <reference field="10" count="1" selected="0">
            <x v="0"/>
          </reference>
          <reference field="11" count="1">
            <x v="116"/>
          </reference>
        </references>
      </pivotArea>
    </format>
    <format dxfId="153">
      <pivotArea dataOnly="0" labelOnly="1" outline="0" fieldPosition="0">
        <references count="6">
          <reference field="0" count="1" selected="0">
            <x v="7"/>
          </reference>
          <reference field="4" count="1" selected="0">
            <x v="0"/>
          </reference>
          <reference field="6" count="1" selected="0">
            <x v="10"/>
          </reference>
          <reference field="7" count="1" selected="0">
            <x v="5"/>
          </reference>
          <reference field="10" count="1" selected="0">
            <x v="3"/>
          </reference>
          <reference field="11" count="1">
            <x v="16"/>
          </reference>
        </references>
      </pivotArea>
    </format>
    <format dxfId="152">
      <pivotArea dataOnly="0" labelOnly="1" outline="0" fieldPosition="0">
        <references count="6">
          <reference field="0" count="1" selected="0">
            <x v="168"/>
          </reference>
          <reference field="4" count="1" selected="0">
            <x v="0"/>
          </reference>
          <reference field="6" count="1" selected="0">
            <x v="10"/>
          </reference>
          <reference field="7" count="1" selected="0">
            <x v="5"/>
          </reference>
          <reference field="10" count="1" selected="0">
            <x v="3"/>
          </reference>
          <reference field="11" count="1">
            <x v="87"/>
          </reference>
        </references>
      </pivotArea>
    </format>
    <format dxfId="151">
      <pivotArea dataOnly="0" labelOnly="1" outline="0" fieldPosition="0">
        <references count="6">
          <reference field="0" count="1" selected="0">
            <x v="169"/>
          </reference>
          <reference field="4" count="1" selected="0">
            <x v="0"/>
          </reference>
          <reference field="6" count="1" selected="0">
            <x v="10"/>
          </reference>
          <reference field="7" count="1" selected="0">
            <x v="5"/>
          </reference>
          <reference field="10" count="1" selected="0">
            <x v="3"/>
          </reference>
          <reference field="11" count="1">
            <x v="18"/>
          </reference>
        </references>
      </pivotArea>
    </format>
    <format dxfId="150">
      <pivotArea dataOnly="0" labelOnly="1" outline="0" fieldPosition="0">
        <references count="6">
          <reference field="0" count="1" selected="0">
            <x v="170"/>
          </reference>
          <reference field="4" count="1" selected="0">
            <x v="0"/>
          </reference>
          <reference field="6" count="1" selected="0">
            <x v="10"/>
          </reference>
          <reference field="7" count="1" selected="0">
            <x v="5"/>
          </reference>
          <reference field="10" count="1" selected="0">
            <x v="3"/>
          </reference>
          <reference field="11" count="1">
            <x v="210"/>
          </reference>
        </references>
      </pivotArea>
    </format>
    <format dxfId="149">
      <pivotArea dataOnly="0" labelOnly="1" outline="0" fieldPosition="0">
        <references count="6">
          <reference field="0" count="1" selected="0">
            <x v="45"/>
          </reference>
          <reference field="4" count="1" selected="0">
            <x v="0"/>
          </reference>
          <reference field="6" count="1" selected="0">
            <x v="10"/>
          </reference>
          <reference field="7" count="1" selected="0">
            <x v="5"/>
          </reference>
          <reference field="10" count="1" selected="0">
            <x v="5"/>
          </reference>
          <reference field="11" count="1">
            <x v="52"/>
          </reference>
        </references>
      </pivotArea>
    </format>
    <format dxfId="148">
      <pivotArea dataOnly="0" labelOnly="1" outline="0" fieldPosition="0">
        <references count="6">
          <reference field="0" count="1" selected="0">
            <x v="71"/>
          </reference>
          <reference field="4" count="1" selected="0">
            <x v="0"/>
          </reference>
          <reference field="6" count="1" selected="0">
            <x v="10"/>
          </reference>
          <reference field="7" count="1" selected="0">
            <x v="5"/>
          </reference>
          <reference field="10" count="1" selected="0">
            <x v="5"/>
          </reference>
          <reference field="11" count="1">
            <x v="167"/>
          </reference>
        </references>
      </pivotArea>
    </format>
    <format dxfId="147">
      <pivotArea dataOnly="0" labelOnly="1" outline="0" fieldPosition="0">
        <references count="6">
          <reference field="0" count="1" selected="0">
            <x v="76"/>
          </reference>
          <reference field="4" count="1" selected="0">
            <x v="0"/>
          </reference>
          <reference field="6" count="1" selected="0">
            <x v="10"/>
          </reference>
          <reference field="7" count="1" selected="0">
            <x v="5"/>
          </reference>
          <reference field="10" count="1" selected="0">
            <x v="5"/>
          </reference>
          <reference field="11" count="1">
            <x v="70"/>
          </reference>
        </references>
      </pivotArea>
    </format>
    <format dxfId="146">
      <pivotArea dataOnly="0" labelOnly="1" outline="0" fieldPosition="0">
        <references count="6">
          <reference field="0" count="1" selected="0">
            <x v="122"/>
          </reference>
          <reference field="4" count="1" selected="0">
            <x v="0"/>
          </reference>
          <reference field="6" count="1" selected="0">
            <x v="10"/>
          </reference>
          <reference field="7" count="1" selected="0">
            <x v="5"/>
          </reference>
          <reference field="10" count="1" selected="0">
            <x v="5"/>
          </reference>
          <reference field="11" count="1">
            <x v="56"/>
          </reference>
        </references>
      </pivotArea>
    </format>
    <format dxfId="145">
      <pivotArea dataOnly="0" labelOnly="1" outline="0" fieldPosition="0">
        <references count="6">
          <reference field="0" count="1" selected="0">
            <x v="130"/>
          </reference>
          <reference field="4" count="1" selected="0">
            <x v="0"/>
          </reference>
          <reference field="6" count="1" selected="0">
            <x v="10"/>
          </reference>
          <reference field="7" count="1" selected="0">
            <x v="5"/>
          </reference>
          <reference field="10" count="1" selected="0">
            <x v="5"/>
          </reference>
          <reference field="11" count="1">
            <x v="126"/>
          </reference>
        </references>
      </pivotArea>
    </format>
    <format dxfId="144">
      <pivotArea dataOnly="0" labelOnly="1" outline="0" fieldPosition="0">
        <references count="6">
          <reference field="0" count="1" selected="0">
            <x v="180"/>
          </reference>
          <reference field="4" count="1" selected="0">
            <x v="0"/>
          </reference>
          <reference field="6" count="1" selected="0">
            <x v="10"/>
          </reference>
          <reference field="7" count="1" selected="0">
            <x v="5"/>
          </reference>
          <reference field="10" count="1" selected="0">
            <x v="5"/>
          </reference>
          <reference field="11" count="1">
            <x v="187"/>
          </reference>
        </references>
      </pivotArea>
    </format>
    <format dxfId="143">
      <pivotArea dataOnly="0" labelOnly="1" outline="0" fieldPosition="0">
        <references count="6">
          <reference field="0" count="1" selected="0">
            <x v="181"/>
          </reference>
          <reference field="4" count="1" selected="0">
            <x v="0"/>
          </reference>
          <reference field="6" count="1" selected="0">
            <x v="10"/>
          </reference>
          <reference field="7" count="1" selected="0">
            <x v="5"/>
          </reference>
          <reference field="10" count="1" selected="0">
            <x v="5"/>
          </reference>
          <reference field="11" count="1">
            <x v="188"/>
          </reference>
        </references>
      </pivotArea>
    </format>
    <format dxfId="142">
      <pivotArea dataOnly="0" labelOnly="1" outline="0" fieldPosition="0">
        <references count="6">
          <reference field="0" count="1" selected="0">
            <x v="182"/>
          </reference>
          <reference field="4" count="1" selected="0">
            <x v="0"/>
          </reference>
          <reference field="6" count="1" selected="0">
            <x v="10"/>
          </reference>
          <reference field="7" count="1" selected="0">
            <x v="5"/>
          </reference>
          <reference field="10" count="1" selected="0">
            <x v="5"/>
          </reference>
          <reference field="11" count="1">
            <x v="189"/>
          </reference>
        </references>
      </pivotArea>
    </format>
    <format dxfId="141">
      <pivotArea dataOnly="0" labelOnly="1" outline="0" fieldPosition="0">
        <references count="6">
          <reference field="0" count="1" selected="0">
            <x v="183"/>
          </reference>
          <reference field="4" count="1" selected="0">
            <x v="0"/>
          </reference>
          <reference field="6" count="1" selected="0">
            <x v="10"/>
          </reference>
          <reference field="7" count="1" selected="0">
            <x v="5"/>
          </reference>
          <reference field="10" count="1" selected="0">
            <x v="5"/>
          </reference>
          <reference field="11" count="1">
            <x v="190"/>
          </reference>
        </references>
      </pivotArea>
    </format>
    <format dxfId="140">
      <pivotArea dataOnly="0" labelOnly="1" outline="0" fieldPosition="0">
        <references count="6">
          <reference field="0" count="1" selected="0">
            <x v="184"/>
          </reference>
          <reference field="4" count="1" selected="0">
            <x v="0"/>
          </reference>
          <reference field="6" count="1" selected="0">
            <x v="10"/>
          </reference>
          <reference field="7" count="1" selected="0">
            <x v="5"/>
          </reference>
          <reference field="10" count="1" selected="0">
            <x v="5"/>
          </reference>
          <reference field="11" count="1">
            <x v="135"/>
          </reference>
        </references>
      </pivotArea>
    </format>
    <format dxfId="139">
      <pivotArea dataOnly="0" labelOnly="1" outline="0" fieldPosition="0">
        <references count="6">
          <reference field="0" count="1" selected="0">
            <x v="208"/>
          </reference>
          <reference field="4" count="1" selected="0">
            <x v="0"/>
          </reference>
          <reference field="6" count="1" selected="0">
            <x v="10"/>
          </reference>
          <reference field="7" count="1" selected="0">
            <x v="5"/>
          </reference>
          <reference field="10" count="1" selected="0">
            <x v="5"/>
          </reference>
          <reference field="11" count="1">
            <x v="212"/>
          </reference>
        </references>
      </pivotArea>
    </format>
    <format dxfId="138">
      <pivotArea dataOnly="0" labelOnly="1" outline="0" fieldPosition="0">
        <references count="6">
          <reference field="0" count="1" selected="0">
            <x v="77"/>
          </reference>
          <reference field="4" count="1" selected="0">
            <x v="0"/>
          </reference>
          <reference field="6" count="1" selected="0">
            <x v="10"/>
          </reference>
          <reference field="7" count="1" selected="0">
            <x v="5"/>
          </reference>
          <reference field="10" count="1" selected="0">
            <x v="11"/>
          </reference>
          <reference field="11" count="1">
            <x v="72"/>
          </reference>
        </references>
      </pivotArea>
    </format>
    <format dxfId="137">
      <pivotArea dataOnly="0" labelOnly="1" outline="0" fieldPosition="0">
        <references count="6">
          <reference field="0" count="1" selected="0">
            <x v="146"/>
          </reference>
          <reference field="4" count="1" selected="0">
            <x v="0"/>
          </reference>
          <reference field="6" count="1" selected="0">
            <x v="10"/>
          </reference>
          <reference field="7" count="1" selected="0">
            <x v="5"/>
          </reference>
          <reference field="10" count="1" selected="0">
            <x v="11"/>
          </reference>
          <reference field="11" count="1">
            <x v="57"/>
          </reference>
        </references>
      </pivotArea>
    </format>
    <format dxfId="136">
      <pivotArea dataOnly="0" labelOnly="1" outline="0" fieldPosition="0">
        <references count="6">
          <reference field="0" count="1" selected="0">
            <x v="116"/>
          </reference>
          <reference field="4" count="1" selected="0">
            <x v="0"/>
          </reference>
          <reference field="6" count="1" selected="0">
            <x v="12"/>
          </reference>
          <reference field="7" count="1" selected="0">
            <x v="5"/>
          </reference>
          <reference field="10" count="1" selected="0">
            <x v="0"/>
          </reference>
          <reference field="11" count="1">
            <x v="133"/>
          </reference>
        </references>
      </pivotArea>
    </format>
    <format dxfId="135">
      <pivotArea dataOnly="0" labelOnly="1" outline="0" fieldPosition="0">
        <references count="6">
          <reference field="0" count="1" selected="0">
            <x v="141"/>
          </reference>
          <reference field="4" count="1" selected="0">
            <x v="0"/>
          </reference>
          <reference field="6" count="1" selected="0">
            <x v="12"/>
          </reference>
          <reference field="7" count="1" selected="0">
            <x v="5"/>
          </reference>
          <reference field="10" count="1" selected="0">
            <x v="0"/>
          </reference>
          <reference field="11" count="1">
            <x v="183"/>
          </reference>
        </references>
      </pivotArea>
    </format>
    <format dxfId="134">
      <pivotArea dataOnly="0" labelOnly="1" outline="0" fieldPosition="0">
        <references count="6">
          <reference field="0" count="1" selected="0">
            <x v="111"/>
          </reference>
          <reference field="4" count="1" selected="0">
            <x v="0"/>
          </reference>
          <reference field="6" count="1" selected="0">
            <x v="12"/>
          </reference>
          <reference field="7" count="1" selected="0">
            <x v="5"/>
          </reference>
          <reference field="10" count="1" selected="0">
            <x v="11"/>
          </reference>
          <reference field="11" count="1">
            <x v="127"/>
          </reference>
        </references>
      </pivotArea>
    </format>
    <format dxfId="133">
      <pivotArea dataOnly="0" labelOnly="1" outline="0" fieldPosition="0">
        <references count="6">
          <reference field="0" count="1" selected="0">
            <x v="121"/>
          </reference>
          <reference field="4" count="1" selected="0">
            <x v="0"/>
          </reference>
          <reference field="6" count="1" selected="0">
            <x v="12"/>
          </reference>
          <reference field="7" count="1" selected="0">
            <x v="5"/>
          </reference>
          <reference field="10" count="1" selected="0">
            <x v="11"/>
          </reference>
          <reference field="11" count="1">
            <x v="68"/>
          </reference>
        </references>
      </pivotArea>
    </format>
    <format dxfId="132">
      <pivotArea dataOnly="0" labelOnly="1" outline="0" fieldPosition="0">
        <references count="6">
          <reference field="0" count="1" selected="0">
            <x v="91"/>
          </reference>
          <reference field="4" count="1" selected="0">
            <x v="0"/>
          </reference>
          <reference field="6" count="1" selected="0">
            <x v="13"/>
          </reference>
          <reference field="7" count="1" selected="0">
            <x v="5"/>
          </reference>
          <reference field="10" count="1" selected="0">
            <x v="2"/>
          </reference>
          <reference field="11" count="1">
            <x v="98"/>
          </reference>
        </references>
      </pivotArea>
    </format>
    <format dxfId="131">
      <pivotArea dataOnly="0" labelOnly="1" outline="0" fieldPosition="0">
        <references count="6">
          <reference field="0" count="1" selected="0">
            <x v="93"/>
          </reference>
          <reference field="4" count="1" selected="0">
            <x v="0"/>
          </reference>
          <reference field="6" count="1" selected="0">
            <x v="13"/>
          </reference>
          <reference field="7" count="1" selected="0">
            <x v="5"/>
          </reference>
          <reference field="10" count="1" selected="0">
            <x v="2"/>
          </reference>
          <reference field="11" count="1">
            <x v="61"/>
          </reference>
        </references>
      </pivotArea>
    </format>
    <format dxfId="130">
      <pivotArea dataOnly="0" labelOnly="1" outline="0" fieldPosition="0">
        <references count="6">
          <reference field="0" count="1" selected="0">
            <x v="110"/>
          </reference>
          <reference field="4" count="1" selected="0">
            <x v="0"/>
          </reference>
          <reference field="6" count="1" selected="0">
            <x v="13"/>
          </reference>
          <reference field="7" count="1" selected="0">
            <x v="5"/>
          </reference>
          <reference field="10" count="1" selected="0">
            <x v="2"/>
          </reference>
          <reference field="11" count="1">
            <x v="112"/>
          </reference>
        </references>
      </pivotArea>
    </format>
    <format dxfId="129">
      <pivotArea dataOnly="0" labelOnly="1" outline="0" fieldPosition="0">
        <references count="6">
          <reference field="0" count="1" selected="0">
            <x v="126"/>
          </reference>
          <reference field="4" count="1" selected="0">
            <x v="0"/>
          </reference>
          <reference field="6" count="1" selected="0">
            <x v="13"/>
          </reference>
          <reference field="7" count="1" selected="0">
            <x v="5"/>
          </reference>
          <reference field="10" count="1" selected="0">
            <x v="2"/>
          </reference>
          <reference field="11" count="1">
            <x v="202"/>
          </reference>
        </references>
      </pivotArea>
    </format>
    <format dxfId="128">
      <pivotArea dataOnly="0" labelOnly="1" outline="0" fieldPosition="0">
        <references count="6">
          <reference field="0" count="1" selected="0">
            <x v="142"/>
          </reference>
          <reference field="4" count="1" selected="0">
            <x v="0"/>
          </reference>
          <reference field="6" count="1" selected="0">
            <x v="14"/>
          </reference>
          <reference field="7" count="1" selected="0">
            <x v="5"/>
          </reference>
          <reference field="10" count="1" selected="0">
            <x v="1"/>
          </reference>
          <reference field="11" count="1">
            <x v="208"/>
          </reference>
        </references>
      </pivotArea>
    </format>
    <format dxfId="127">
      <pivotArea dataOnly="0" labelOnly="1" outline="0" fieldPosition="0">
        <references count="6">
          <reference field="0" count="1" selected="0">
            <x v="125"/>
          </reference>
          <reference field="4" count="1" selected="0">
            <x v="0"/>
          </reference>
          <reference field="6" count="1" selected="0">
            <x v="14"/>
          </reference>
          <reference field="7" count="1" selected="0">
            <x v="5"/>
          </reference>
          <reference field="10" count="1" selected="0">
            <x v="5"/>
          </reference>
          <reference field="11" count="1">
            <x v="182"/>
          </reference>
        </references>
      </pivotArea>
    </format>
    <format dxfId="126">
      <pivotArea dataOnly="0" labelOnly="1" outline="0" fieldPosition="0">
        <references count="6">
          <reference field="0" count="1" selected="0">
            <x v="144"/>
          </reference>
          <reference field="4" count="1" selected="0">
            <x v="0"/>
          </reference>
          <reference field="6" count="1" selected="0">
            <x v="14"/>
          </reference>
          <reference field="7" count="1" selected="0">
            <x v="5"/>
          </reference>
          <reference field="10" count="1" selected="0">
            <x v="5"/>
          </reference>
          <reference field="11" count="1">
            <x v="181"/>
          </reference>
        </references>
      </pivotArea>
    </format>
    <format dxfId="125">
      <pivotArea dataOnly="0" labelOnly="1" outline="0" fieldPosition="0">
        <references count="6">
          <reference field="0" count="1" selected="0">
            <x v="202"/>
          </reference>
          <reference field="4" count="1" selected="0">
            <x v="0"/>
          </reference>
          <reference field="6" count="1" selected="0">
            <x v="15"/>
          </reference>
          <reference field="7" count="1" selected="0">
            <x v="5"/>
          </reference>
          <reference field="10" count="1" selected="0">
            <x v="2"/>
          </reference>
          <reference field="11" count="1">
            <x v="114"/>
          </reference>
        </references>
      </pivotArea>
    </format>
    <format dxfId="124">
      <pivotArea dataOnly="0" labelOnly="1" outline="0" fieldPosition="0">
        <references count="6">
          <reference field="0" count="1" selected="0">
            <x v="29"/>
          </reference>
          <reference field="4" count="1" selected="0">
            <x v="0"/>
          </reference>
          <reference field="6" count="1" selected="0">
            <x v="15"/>
          </reference>
          <reference field="7" count="1" selected="0">
            <x v="5"/>
          </reference>
          <reference field="10" count="1" selected="0">
            <x v="5"/>
          </reference>
          <reference field="11" count="1">
            <x v="23"/>
          </reference>
        </references>
      </pivotArea>
    </format>
    <format dxfId="123">
      <pivotArea dataOnly="0" labelOnly="1" outline="0" fieldPosition="0">
        <references count="6">
          <reference field="0" count="1" selected="0">
            <x v="105"/>
          </reference>
          <reference field="4" count="1" selected="0">
            <x v="0"/>
          </reference>
          <reference field="6" count="1" selected="0">
            <x v="15"/>
          </reference>
          <reference field="7" count="1" selected="0">
            <x v="5"/>
          </reference>
          <reference field="10" count="1" selected="0">
            <x v="5"/>
          </reference>
          <reference field="11" count="1">
            <x v="71"/>
          </reference>
        </references>
      </pivotArea>
    </format>
    <format dxfId="122">
      <pivotArea dataOnly="0" labelOnly="1" outline="0" fieldPosition="0">
        <references count="6">
          <reference field="0" count="1" selected="0">
            <x v="164"/>
          </reference>
          <reference field="4" count="1" selected="0">
            <x v="0"/>
          </reference>
          <reference field="6" count="1" selected="0">
            <x v="15"/>
          </reference>
          <reference field="7" count="1" selected="0">
            <x v="5"/>
          </reference>
          <reference field="10" count="1" selected="0">
            <x v="6"/>
          </reference>
          <reference field="11" count="1">
            <x v="94"/>
          </reference>
        </references>
      </pivotArea>
    </format>
    <format dxfId="121">
      <pivotArea dataOnly="0" labelOnly="1" outline="0" fieldPosition="0">
        <references count="6">
          <reference field="0" count="1" selected="0">
            <x v="109"/>
          </reference>
          <reference field="4" count="1" selected="0">
            <x v="0"/>
          </reference>
          <reference field="6" count="1" selected="0">
            <x v="15"/>
          </reference>
          <reference field="7" count="1" selected="0">
            <x v="5"/>
          </reference>
          <reference field="10" count="1" selected="0">
            <x v="9"/>
          </reference>
          <reference field="11" count="1">
            <x v="88"/>
          </reference>
        </references>
      </pivotArea>
    </format>
    <format dxfId="120">
      <pivotArea dataOnly="0" labelOnly="1" outline="0" fieldPosition="0">
        <references count="6">
          <reference field="0" count="1" selected="0">
            <x v="200"/>
          </reference>
          <reference field="4" count="1" selected="0">
            <x v="0"/>
          </reference>
          <reference field="6" count="1" selected="0">
            <x v="15"/>
          </reference>
          <reference field="7" count="1" selected="0">
            <x v="5"/>
          </reference>
          <reference field="10" count="1" selected="0">
            <x v="10"/>
          </reference>
          <reference field="11" count="1">
            <x v="97"/>
          </reference>
        </references>
      </pivotArea>
    </format>
    <format dxfId="119">
      <pivotArea dataOnly="0" labelOnly="1" outline="0" fieldPosition="0">
        <references count="6">
          <reference field="0" count="1" selected="0">
            <x v="203"/>
          </reference>
          <reference field="4" count="1" selected="0">
            <x v="0"/>
          </reference>
          <reference field="6" count="1" selected="0">
            <x v="15"/>
          </reference>
          <reference field="7" count="1" selected="0">
            <x v="5"/>
          </reference>
          <reference field="10" count="1" selected="0">
            <x v="10"/>
          </reference>
          <reference field="11" count="1">
            <x v="156"/>
          </reference>
        </references>
      </pivotArea>
    </format>
    <format dxfId="118">
      <pivotArea dataOnly="0" labelOnly="1" outline="0" fieldPosition="0">
        <references count="6">
          <reference field="0" count="1" selected="0">
            <x v="205"/>
          </reference>
          <reference field="4" count="1" selected="0">
            <x v="0"/>
          </reference>
          <reference field="6" count="1" selected="0">
            <x v="15"/>
          </reference>
          <reference field="7" count="1" selected="0">
            <x v="5"/>
          </reference>
          <reference field="10" count="1" selected="0">
            <x v="10"/>
          </reference>
          <reference field="11" count="1">
            <x v="131"/>
          </reference>
        </references>
      </pivotArea>
    </format>
    <format dxfId="117">
      <pivotArea dataOnly="0" labelOnly="1" outline="0" fieldPosition="0">
        <references count="6">
          <reference field="0" count="1" selected="0">
            <x v="0"/>
          </reference>
          <reference field="4" count="1" selected="0">
            <x v="0"/>
          </reference>
          <reference field="6" count="1" selected="0">
            <x v="15"/>
          </reference>
          <reference field="7" count="1" selected="0">
            <x v="5"/>
          </reference>
          <reference field="10" count="1" selected="0">
            <x v="11"/>
          </reference>
          <reference field="11" count="1">
            <x v="0"/>
          </reference>
        </references>
      </pivotArea>
    </format>
    <format dxfId="116">
      <pivotArea dataOnly="0" labelOnly="1" outline="0" fieldPosition="0">
        <references count="6">
          <reference field="0" count="1" selected="0">
            <x v="41"/>
          </reference>
          <reference field="4" count="1" selected="0">
            <x v="0"/>
          </reference>
          <reference field="6" count="1" selected="0">
            <x v="15"/>
          </reference>
          <reference field="7" count="1" selected="0">
            <x v="5"/>
          </reference>
          <reference field="10" count="1" selected="0">
            <x v="11"/>
          </reference>
          <reference field="11" count="1">
            <x v="175"/>
          </reference>
        </references>
      </pivotArea>
    </format>
    <format dxfId="115">
      <pivotArea dataOnly="0" labelOnly="1" outline="0" fieldPosition="0">
        <references count="6">
          <reference field="0" count="1" selected="0">
            <x v="173"/>
          </reference>
          <reference field="4" count="1" selected="0">
            <x v="0"/>
          </reference>
          <reference field="6" count="1" selected="0">
            <x v="15"/>
          </reference>
          <reference field="7" count="1" selected="0">
            <x v="5"/>
          </reference>
          <reference field="10" count="1" selected="0">
            <x v="12"/>
          </reference>
          <reference field="11" count="1">
            <x v="22"/>
          </reference>
        </references>
      </pivotArea>
    </format>
    <format dxfId="114">
      <pivotArea dataOnly="0" labelOnly="1" outline="0" fieldPosition="0">
        <references count="6">
          <reference field="0" count="1" selected="0">
            <x v="33"/>
          </reference>
          <reference field="4" count="1" selected="0">
            <x v="1"/>
          </reference>
          <reference field="6" count="1" selected="0">
            <x v="2"/>
          </reference>
          <reference field="7" count="1" selected="0">
            <x v="4"/>
          </reference>
          <reference field="10" count="1" selected="0">
            <x v="5"/>
          </reference>
          <reference field="11" count="1">
            <x v="34"/>
          </reference>
        </references>
      </pivotArea>
    </format>
    <format dxfId="113">
      <pivotArea dataOnly="0" labelOnly="1" outline="0" fieldPosition="0">
        <references count="6">
          <reference field="0" count="1" selected="0">
            <x v="188"/>
          </reference>
          <reference field="4" count="1" selected="0">
            <x v="1"/>
          </reference>
          <reference field="6" count="1" selected="0">
            <x v="6"/>
          </reference>
          <reference field="7" count="1" selected="0">
            <x v="5"/>
          </reference>
          <reference field="10" count="1" selected="0">
            <x v="11"/>
          </reference>
          <reference field="11" count="1">
            <x v="30"/>
          </reference>
        </references>
      </pivotArea>
    </format>
    <format dxfId="112">
      <pivotArea dataOnly="0" labelOnly="1" outline="0" fieldPosition="0">
        <references count="6">
          <reference field="0" count="1" selected="0">
            <x v="4"/>
          </reference>
          <reference field="4" count="1" selected="0">
            <x v="1"/>
          </reference>
          <reference field="6" count="1" selected="0">
            <x v="7"/>
          </reference>
          <reference field="7" count="1" selected="0">
            <x v="5"/>
          </reference>
          <reference field="10" count="1" selected="0">
            <x v="5"/>
          </reference>
          <reference field="11" count="1">
            <x v="9"/>
          </reference>
        </references>
      </pivotArea>
    </format>
    <format dxfId="111">
      <pivotArea dataOnly="0" labelOnly="1" outline="0" fieldPosition="0">
        <references count="6">
          <reference field="0" count="1" selected="0">
            <x v="46"/>
          </reference>
          <reference field="4" count="1" selected="0">
            <x v="1"/>
          </reference>
          <reference field="6" count="1" selected="0">
            <x v="10"/>
          </reference>
          <reference field="7" count="1" selected="0">
            <x v="5"/>
          </reference>
          <reference field="10" count="1" selected="0">
            <x v="5"/>
          </reference>
          <reference field="11" count="1">
            <x v="53"/>
          </reference>
        </references>
      </pivotArea>
    </format>
    <format dxfId="110">
      <pivotArea dataOnly="0" labelOnly="1" outline="0" fieldPosition="0">
        <references count="6">
          <reference field="0" count="1" selected="0">
            <x v="60"/>
          </reference>
          <reference field="4" count="1" selected="0">
            <x v="1"/>
          </reference>
          <reference field="6" count="1" selected="0">
            <x v="10"/>
          </reference>
          <reference field="7" count="1" selected="0">
            <x v="5"/>
          </reference>
          <reference field="10" count="1" selected="0">
            <x v="5"/>
          </reference>
          <reference field="11" count="1">
            <x v="154"/>
          </reference>
        </references>
      </pivotArea>
    </format>
    <format dxfId="109">
      <pivotArea dataOnly="0" labelOnly="1" outline="0" fieldPosition="0">
        <references count="7">
          <reference field="0" count="1" selected="0">
            <x v="10"/>
          </reference>
          <reference field="4" count="1" selected="0">
            <x v="0"/>
          </reference>
          <reference field="6" count="1" selected="0">
            <x v="0"/>
          </reference>
          <reference field="7" count="1" selected="0">
            <x v="5"/>
          </reference>
          <reference field="10" count="1" selected="0">
            <x v="13"/>
          </reference>
          <reference field="11" count="1" selected="0">
            <x v="104"/>
          </reference>
          <reference field="14" count="1">
            <x v="0"/>
          </reference>
        </references>
      </pivotArea>
    </format>
    <format dxfId="108">
      <pivotArea dataOnly="0" labelOnly="1" outline="0" fieldPosition="0">
        <references count="7">
          <reference field="0" count="1" selected="0">
            <x v="206"/>
          </reference>
          <reference field="4" count="1" selected="0">
            <x v="0"/>
          </reference>
          <reference field="6" count="1" selected="0">
            <x v="2"/>
          </reference>
          <reference field="7" count="1" selected="0">
            <x v="1"/>
          </reference>
          <reference field="10" count="1" selected="0">
            <x v="0"/>
          </reference>
          <reference field="11" count="1" selected="0">
            <x v="203"/>
          </reference>
          <reference field="14" count="1">
            <x v="0"/>
          </reference>
        </references>
      </pivotArea>
    </format>
    <format dxfId="107">
      <pivotArea dataOnly="0" labelOnly="1" outline="0" fieldPosition="0">
        <references count="7">
          <reference field="0" count="1" selected="0">
            <x v="135"/>
          </reference>
          <reference field="4" count="1" selected="0">
            <x v="0"/>
          </reference>
          <reference field="6" count="1" selected="0">
            <x v="2"/>
          </reference>
          <reference field="7" count="1" selected="0">
            <x v="1"/>
          </reference>
          <reference field="10" count="1" selected="0">
            <x v="5"/>
          </reference>
          <reference field="11" count="1" selected="0">
            <x v="196"/>
          </reference>
          <reference field="14" count="1">
            <x v="0"/>
          </reference>
        </references>
      </pivotArea>
    </format>
    <format dxfId="106">
      <pivotArea dataOnly="0" labelOnly="1" outline="0" fieldPosition="0">
        <references count="7">
          <reference field="0" count="1" selected="0">
            <x v="18"/>
          </reference>
          <reference field="4" count="1" selected="0">
            <x v="0"/>
          </reference>
          <reference field="6" count="1" selected="0">
            <x v="2"/>
          </reference>
          <reference field="7" count="1" selected="0">
            <x v="1"/>
          </reference>
          <reference field="10" count="1" selected="0">
            <x v="8"/>
          </reference>
          <reference field="11" count="1" selected="0">
            <x v="194"/>
          </reference>
          <reference field="14" count="1">
            <x v="0"/>
          </reference>
        </references>
      </pivotArea>
    </format>
    <format dxfId="105">
      <pivotArea dataOnly="0" labelOnly="1" outline="0" fieldPosition="0">
        <references count="7">
          <reference field="0" count="1" selected="0">
            <x v="48"/>
          </reference>
          <reference field="4" count="1" selected="0">
            <x v="0"/>
          </reference>
          <reference field="6" count="1" selected="0">
            <x v="2"/>
          </reference>
          <reference field="7" count="1" selected="0">
            <x v="1"/>
          </reference>
          <reference field="10" count="1" selected="0">
            <x v="8"/>
          </reference>
          <reference field="11" count="1" selected="0">
            <x v="93"/>
          </reference>
          <reference field="14" count="1">
            <x v="0"/>
          </reference>
        </references>
      </pivotArea>
    </format>
    <format dxfId="104">
      <pivotArea dataOnly="0" labelOnly="1" outline="0" fieldPosition="0">
        <references count="7">
          <reference field="0" count="1" selected="0">
            <x v="97"/>
          </reference>
          <reference field="4" count="1" selected="0">
            <x v="0"/>
          </reference>
          <reference field="6" count="1" selected="0">
            <x v="2"/>
          </reference>
          <reference field="7" count="1" selected="0">
            <x v="1"/>
          </reference>
          <reference field="10" count="1" selected="0">
            <x v="8"/>
          </reference>
          <reference field="11" count="1" selected="0">
            <x v="117"/>
          </reference>
          <reference field="14" count="1">
            <x v="0"/>
          </reference>
        </references>
      </pivotArea>
    </format>
    <format dxfId="103">
      <pivotArea dataOnly="0" labelOnly="1" outline="0" fieldPosition="0">
        <references count="7">
          <reference field="0" count="1" selected="0">
            <x v="149"/>
          </reference>
          <reference field="4" count="1" selected="0">
            <x v="0"/>
          </reference>
          <reference field="6" count="1" selected="0">
            <x v="2"/>
          </reference>
          <reference field="7" count="1" selected="0">
            <x v="1"/>
          </reference>
          <reference field="10" count="1" selected="0">
            <x v="8"/>
          </reference>
          <reference field="11" count="1" selected="0">
            <x v="159"/>
          </reference>
          <reference field="14" count="1">
            <x v="0"/>
          </reference>
        </references>
      </pivotArea>
    </format>
    <format dxfId="102">
      <pivotArea dataOnly="0" labelOnly="1" outline="0" fieldPosition="0">
        <references count="7">
          <reference field="0" count="1" selected="0">
            <x v="163"/>
          </reference>
          <reference field="4" count="1" selected="0">
            <x v="0"/>
          </reference>
          <reference field="6" count="1" selected="0">
            <x v="2"/>
          </reference>
          <reference field="7" count="1" selected="0">
            <x v="1"/>
          </reference>
          <reference field="10" count="1" selected="0">
            <x v="8"/>
          </reference>
          <reference field="11" count="1" selected="0">
            <x v="170"/>
          </reference>
          <reference field="14" count="1">
            <x v="0"/>
          </reference>
        </references>
      </pivotArea>
    </format>
    <format dxfId="101">
      <pivotArea dataOnly="0" labelOnly="1" outline="0" fieldPosition="0">
        <references count="7">
          <reference field="0" count="1" selected="0">
            <x v="191"/>
          </reference>
          <reference field="4" count="1" selected="0">
            <x v="0"/>
          </reference>
          <reference field="6" count="1" selected="0">
            <x v="2"/>
          </reference>
          <reference field="7" count="1" selected="0">
            <x v="1"/>
          </reference>
          <reference field="10" count="1" selected="0">
            <x v="8"/>
          </reference>
          <reference field="11" count="1" selected="0">
            <x v="65"/>
          </reference>
          <reference field="14" count="1">
            <x v="0"/>
          </reference>
        </references>
      </pivotArea>
    </format>
    <format dxfId="100">
      <pivotArea dataOnly="0" labelOnly="1" outline="0" fieldPosition="0">
        <references count="7">
          <reference field="0" count="1" selected="0">
            <x v="193"/>
          </reference>
          <reference field="4" count="1" selected="0">
            <x v="0"/>
          </reference>
          <reference field="6" count="1" selected="0">
            <x v="2"/>
          </reference>
          <reference field="7" count="1" selected="0">
            <x v="1"/>
          </reference>
          <reference field="10" count="1" selected="0">
            <x v="8"/>
          </reference>
          <reference field="11" count="1" selected="0">
            <x v="185"/>
          </reference>
          <reference field="14" count="1">
            <x v="0"/>
          </reference>
        </references>
      </pivotArea>
    </format>
    <format dxfId="99">
      <pivotArea dataOnly="0" labelOnly="1" outline="0" fieldPosition="0">
        <references count="7">
          <reference field="0" count="1" selected="0">
            <x v="140"/>
          </reference>
          <reference field="4" count="1" selected="0">
            <x v="0"/>
          </reference>
          <reference field="6" count="1" selected="0">
            <x v="2"/>
          </reference>
          <reference field="7" count="1" selected="0">
            <x v="2"/>
          </reference>
          <reference field="10" count="1" selected="0">
            <x v="5"/>
          </reference>
          <reference field="11" count="1" selected="0">
            <x v="209"/>
          </reference>
          <reference field="14" count="1">
            <x v="0"/>
          </reference>
        </references>
      </pivotArea>
    </format>
    <format dxfId="98">
      <pivotArea dataOnly="0" labelOnly="1" outline="0" fieldPosition="0">
        <references count="7">
          <reference field="0" count="1" selected="0">
            <x v="151"/>
          </reference>
          <reference field="4" count="1" selected="0">
            <x v="0"/>
          </reference>
          <reference field="6" count="1" selected="0">
            <x v="2"/>
          </reference>
          <reference field="7" count="1" selected="0">
            <x v="2"/>
          </reference>
          <reference field="10" count="1" selected="0">
            <x v="5"/>
          </reference>
          <reference field="11" count="1" selected="0">
            <x v="161"/>
          </reference>
          <reference field="14" count="1">
            <x v="0"/>
          </reference>
        </references>
      </pivotArea>
    </format>
    <format dxfId="97">
      <pivotArea dataOnly="0" labelOnly="1" outline="0" fieldPosition="0">
        <references count="7">
          <reference field="0" count="1" selected="0">
            <x v="155"/>
          </reference>
          <reference field="4" count="1" selected="0">
            <x v="0"/>
          </reference>
          <reference field="6" count="1" selected="0">
            <x v="2"/>
          </reference>
          <reference field="7" count="1" selected="0">
            <x v="2"/>
          </reference>
          <reference field="10" count="1" selected="0">
            <x v="5"/>
          </reference>
          <reference field="11" count="1" selected="0">
            <x v="165"/>
          </reference>
          <reference field="14" count="1">
            <x v="0"/>
          </reference>
        </references>
      </pivotArea>
    </format>
    <format dxfId="96">
      <pivotArea dataOnly="0" labelOnly="1" outline="0" fieldPosition="0">
        <references count="7">
          <reference field="0" count="1" selected="0">
            <x v="190"/>
          </reference>
          <reference field="4" count="1" selected="0">
            <x v="0"/>
          </reference>
          <reference field="6" count="1" selected="0">
            <x v="2"/>
          </reference>
          <reference field="7" count="1" selected="0">
            <x v="2"/>
          </reference>
          <reference field="10" count="1" selected="0">
            <x v="5"/>
          </reference>
          <reference field="11" count="1" selected="0">
            <x v="64"/>
          </reference>
          <reference field="14" count="1">
            <x v="0"/>
          </reference>
        </references>
      </pivotArea>
    </format>
    <format dxfId="95">
      <pivotArea dataOnly="0" labelOnly="1" outline="0" fieldPosition="0">
        <references count="7">
          <reference field="0" count="1" selected="0">
            <x v="193"/>
          </reference>
          <reference field="4" count="1" selected="0">
            <x v="0"/>
          </reference>
          <reference field="6" count="1" selected="0">
            <x v="2"/>
          </reference>
          <reference field="7" count="1" selected="0">
            <x v="2"/>
          </reference>
          <reference field="10" count="1" selected="0">
            <x v="5"/>
          </reference>
          <reference field="11" count="1" selected="0">
            <x v="185"/>
          </reference>
          <reference field="14" count="1">
            <x v="0"/>
          </reference>
        </references>
      </pivotArea>
    </format>
    <format dxfId="94">
      <pivotArea dataOnly="0" labelOnly="1" outline="0" fieldPosition="0">
        <references count="7">
          <reference field="0" count="1" selected="0">
            <x v="207"/>
          </reference>
          <reference field="4" count="1" selected="0">
            <x v="0"/>
          </reference>
          <reference field="6" count="1" selected="0">
            <x v="2"/>
          </reference>
          <reference field="7" count="1" selected="0">
            <x v="4"/>
          </reference>
          <reference field="10" count="1" selected="0">
            <x v="5"/>
          </reference>
          <reference field="11" count="1" selected="0">
            <x v="108"/>
          </reference>
          <reference field="14" count="1">
            <x v="0"/>
          </reference>
        </references>
      </pivotArea>
    </format>
    <format dxfId="93">
      <pivotArea dataOnly="0" labelOnly="1" outline="0" fieldPosition="0">
        <references count="7">
          <reference field="0" count="1" selected="0">
            <x v="62"/>
          </reference>
          <reference field="4" count="1" selected="0">
            <x v="0"/>
          </reference>
          <reference field="6" count="1" selected="0">
            <x v="2"/>
          </reference>
          <reference field="7" count="1" selected="0">
            <x v="4"/>
          </reference>
          <reference field="10" count="1" selected="0">
            <x v="8"/>
          </reference>
          <reference field="11" count="1" selected="0">
            <x v="191"/>
          </reference>
          <reference field="14" count="1">
            <x v="0"/>
          </reference>
        </references>
      </pivotArea>
    </format>
    <format dxfId="92">
      <pivotArea dataOnly="0" labelOnly="1" outline="0" fieldPosition="0">
        <references count="7">
          <reference field="0" count="1" selected="0">
            <x v="166"/>
          </reference>
          <reference field="4" count="1" selected="0">
            <x v="0"/>
          </reference>
          <reference field="6" count="1" selected="0">
            <x v="3"/>
          </reference>
          <reference field="7" count="1" selected="0">
            <x v="2"/>
          </reference>
          <reference field="10" count="1" selected="0">
            <x v="11"/>
          </reference>
          <reference field="11" count="1" selected="0">
            <x v="207"/>
          </reference>
          <reference field="14" count="1">
            <x v="0"/>
          </reference>
        </references>
      </pivotArea>
    </format>
    <format dxfId="91">
      <pivotArea dataOnly="0" labelOnly="1" outline="0" fieldPosition="0">
        <references count="7">
          <reference field="0" count="1" selected="0">
            <x v="102"/>
          </reference>
          <reference field="4" count="1" selected="0">
            <x v="0"/>
          </reference>
          <reference field="6" count="1" selected="0">
            <x v="3"/>
          </reference>
          <reference field="7" count="1" selected="0">
            <x v="2"/>
          </reference>
          <reference field="10" count="1" selected="0">
            <x v="12"/>
          </reference>
          <reference field="11" count="1" selected="0">
            <x v="67"/>
          </reference>
          <reference field="14" count="1">
            <x v="0"/>
          </reference>
        </references>
      </pivotArea>
    </format>
    <format dxfId="90">
      <pivotArea dataOnly="0" labelOnly="1" outline="0" fieldPosition="0">
        <references count="7">
          <reference field="0" count="1" selected="0">
            <x v="119"/>
          </reference>
          <reference field="4" count="1" selected="0">
            <x v="0"/>
          </reference>
          <reference field="6" count="1" selected="0">
            <x v="3"/>
          </reference>
          <reference field="7" count="1" selected="0">
            <x v="2"/>
          </reference>
          <reference field="10" count="1" selected="0">
            <x v="12"/>
          </reference>
          <reference field="11" count="1" selected="0">
            <x v="123"/>
          </reference>
          <reference field="14" count="1">
            <x v="0"/>
          </reference>
        </references>
      </pivotArea>
    </format>
    <format dxfId="89">
      <pivotArea dataOnly="0" labelOnly="1" outline="0" fieldPosition="0">
        <references count="7">
          <reference field="0" count="1" selected="0">
            <x v="154"/>
          </reference>
          <reference field="4" count="1" selected="0">
            <x v="0"/>
          </reference>
          <reference field="6" count="1" selected="0">
            <x v="3"/>
          </reference>
          <reference field="7" count="1" selected="0">
            <x v="2"/>
          </reference>
          <reference field="10" count="1" selected="0">
            <x v="12"/>
          </reference>
          <reference field="11" count="1" selected="0">
            <x v="164"/>
          </reference>
          <reference field="14" count="1">
            <x v="0"/>
          </reference>
        </references>
      </pivotArea>
    </format>
    <format dxfId="88">
      <pivotArea dataOnly="0" labelOnly="1" outline="0" fieldPosition="0">
        <references count="7">
          <reference field="0" count="1" selected="0">
            <x v="162"/>
          </reference>
          <reference field="4" count="1" selected="0">
            <x v="0"/>
          </reference>
          <reference field="6" count="1" selected="0">
            <x v="3"/>
          </reference>
          <reference field="7" count="1" selected="0">
            <x v="2"/>
          </reference>
          <reference field="10" count="1" selected="0">
            <x v="12"/>
          </reference>
          <reference field="11" count="1" selected="0">
            <x v="169"/>
          </reference>
          <reference field="14" count="1">
            <x v="0"/>
          </reference>
        </references>
      </pivotArea>
    </format>
    <format dxfId="87">
      <pivotArea dataOnly="0" labelOnly="1" outline="0" fieldPosition="0">
        <references count="7">
          <reference field="0" count="1" selected="0">
            <x v="185"/>
          </reference>
          <reference field="4" count="1" selected="0">
            <x v="0"/>
          </reference>
          <reference field="6" count="1" selected="0">
            <x v="3"/>
          </reference>
          <reference field="7" count="1" selected="0">
            <x v="2"/>
          </reference>
          <reference field="10" count="1" selected="0">
            <x v="12"/>
          </reference>
          <reference field="11" count="1" selected="0">
            <x v="125"/>
          </reference>
          <reference field="14" count="1">
            <x v="0"/>
          </reference>
        </references>
      </pivotArea>
    </format>
    <format dxfId="86">
      <pivotArea dataOnly="0" labelOnly="1" outline="0" fieldPosition="0">
        <references count="7">
          <reference field="0" count="1" selected="0">
            <x v="192"/>
          </reference>
          <reference field="4" count="1" selected="0">
            <x v="0"/>
          </reference>
          <reference field="6" count="1" selected="0">
            <x v="3"/>
          </reference>
          <reference field="7" count="1" selected="0">
            <x v="2"/>
          </reference>
          <reference field="10" count="1" selected="0">
            <x v="12"/>
          </reference>
          <reference field="11" count="1" selected="0">
            <x v="66"/>
          </reference>
          <reference field="14" count="1">
            <x v="0"/>
          </reference>
        </references>
      </pivotArea>
    </format>
    <format dxfId="85">
      <pivotArea dataOnly="0" labelOnly="1" outline="0" fieldPosition="0">
        <references count="7">
          <reference field="0" count="1" selected="0">
            <x v="196"/>
          </reference>
          <reference field="4" count="1" selected="0">
            <x v="0"/>
          </reference>
          <reference field="6" count="1" selected="0">
            <x v="3"/>
          </reference>
          <reference field="7" count="1" selected="0">
            <x v="2"/>
          </reference>
          <reference field="10" count="1" selected="0">
            <x v="12"/>
          </reference>
          <reference field="11" count="1" selected="0">
            <x v="174"/>
          </reference>
          <reference field="14" count="1">
            <x v="0"/>
          </reference>
        </references>
      </pivotArea>
    </format>
    <format dxfId="84">
      <pivotArea dataOnly="0" labelOnly="1" outline="0" fieldPosition="0">
        <references count="7">
          <reference field="0" count="1" selected="0">
            <x v="69"/>
          </reference>
          <reference field="4" count="1" selected="0">
            <x v="0"/>
          </reference>
          <reference field="6" count="1" selected="0">
            <x v="3"/>
          </reference>
          <reference field="7" count="1" selected="0">
            <x v="4"/>
          </reference>
          <reference field="10" count="1" selected="0">
            <x v="12"/>
          </reference>
          <reference field="11" count="1" selected="0">
            <x v="37"/>
          </reference>
          <reference field="14" count="1">
            <x v="0"/>
          </reference>
        </references>
      </pivotArea>
    </format>
    <format dxfId="83">
      <pivotArea dataOnly="0" labelOnly="1" outline="0" fieldPosition="0">
        <references count="7">
          <reference field="0" count="1" selected="0">
            <x v="165"/>
          </reference>
          <reference field="4" count="1" selected="0">
            <x v="0"/>
          </reference>
          <reference field="6" count="1" selected="0">
            <x v="3"/>
          </reference>
          <reference field="7" count="1" selected="0">
            <x v="4"/>
          </reference>
          <reference field="10" count="1" selected="0">
            <x v="12"/>
          </reference>
          <reference field="11" count="1" selected="0">
            <x v="79"/>
          </reference>
          <reference field="14" count="1">
            <x v="0"/>
          </reference>
        </references>
      </pivotArea>
    </format>
    <format dxfId="82">
      <pivotArea dataOnly="0" labelOnly="1" outline="0" fieldPosition="0">
        <references count="7">
          <reference field="0" count="1" selected="0">
            <x v="197"/>
          </reference>
          <reference field="4" count="1" selected="0">
            <x v="0"/>
          </reference>
          <reference field="6" count="1" selected="0">
            <x v="4"/>
          </reference>
          <reference field="7" count="1" selected="0">
            <x v="5"/>
          </reference>
          <reference field="10" count="1" selected="0">
            <x v="0"/>
          </reference>
          <reference field="11" count="1" selected="0">
            <x v="205"/>
          </reference>
          <reference field="14" count="1">
            <x v="1"/>
          </reference>
        </references>
      </pivotArea>
    </format>
    <format dxfId="81">
      <pivotArea dataOnly="0" labelOnly="1" outline="0" fieldPosition="0">
        <references count="7">
          <reference field="0" count="1" selected="0">
            <x v="65"/>
          </reference>
          <reference field="4" count="1" selected="0">
            <x v="0"/>
          </reference>
          <reference field="6" count="1" selected="0">
            <x v="4"/>
          </reference>
          <reference field="7" count="1" selected="0">
            <x v="5"/>
          </reference>
          <reference field="10" count="1" selected="0">
            <x v="5"/>
          </reference>
          <reference field="11" count="1" selected="0">
            <x v="201"/>
          </reference>
          <reference field="14" count="1">
            <x v="0"/>
          </reference>
        </references>
      </pivotArea>
    </format>
    <format dxfId="80">
      <pivotArea dataOnly="0" labelOnly="1" outline="0" fieldPosition="0">
        <references count="7">
          <reference field="0" count="1" selected="0">
            <x v="89"/>
          </reference>
          <reference field="4" count="1" selected="0">
            <x v="0"/>
          </reference>
          <reference field="6" count="1" selected="0">
            <x v="4"/>
          </reference>
          <reference field="7" count="1" selected="0">
            <x v="5"/>
          </reference>
          <reference field="10" count="1" selected="0">
            <x v="5"/>
          </reference>
          <reference field="11" count="1" selected="0">
            <x v="96"/>
          </reference>
          <reference field="14" count="1">
            <x v="0"/>
          </reference>
        </references>
      </pivotArea>
    </format>
    <format dxfId="79">
      <pivotArea dataOnly="0" labelOnly="1" outline="0" fieldPosition="0">
        <references count="7">
          <reference field="0" count="1" selected="0">
            <x v="194"/>
          </reference>
          <reference field="4" count="1" selected="0">
            <x v="0"/>
          </reference>
          <reference field="6" count="1" selected="0">
            <x v="4"/>
          </reference>
          <reference field="7" count="1" selected="0">
            <x v="5"/>
          </reference>
          <reference field="10" count="1" selected="0">
            <x v="5"/>
          </reference>
          <reference field="11" count="1" selected="0">
            <x v="8"/>
          </reference>
          <reference field="14" count="1">
            <x v="0"/>
          </reference>
        </references>
      </pivotArea>
    </format>
    <format dxfId="78">
      <pivotArea dataOnly="0" labelOnly="1" outline="0" fieldPosition="0">
        <references count="7">
          <reference field="0" count="1" selected="0">
            <x v="87"/>
          </reference>
          <reference field="4" count="1" selected="0">
            <x v="0"/>
          </reference>
          <reference field="6" count="1" selected="0">
            <x v="5"/>
          </reference>
          <reference field="7" count="1" selected="0">
            <x v="5"/>
          </reference>
          <reference field="10" count="1" selected="0">
            <x v="3"/>
          </reference>
          <reference field="11" count="1" selected="0">
            <x v="81"/>
          </reference>
          <reference field="14" count="1">
            <x v="0"/>
          </reference>
        </references>
      </pivotArea>
    </format>
    <format dxfId="77">
      <pivotArea dataOnly="0" labelOnly="1" outline="0" fieldPosition="0">
        <references count="7">
          <reference field="0" count="1" selected="0">
            <x v="21"/>
          </reference>
          <reference field="4" count="1" selected="0">
            <x v="0"/>
          </reference>
          <reference field="6" count="1" selected="0">
            <x v="5"/>
          </reference>
          <reference field="7" count="1" selected="0">
            <x v="5"/>
          </reference>
          <reference field="10" count="1" selected="0">
            <x v="11"/>
          </reference>
          <reference field="11" count="1" selected="0">
            <x v="7"/>
          </reference>
          <reference field="14" count="1">
            <x v="0"/>
          </reference>
        </references>
      </pivotArea>
    </format>
    <format dxfId="76">
      <pivotArea dataOnly="0" labelOnly="1" outline="0" fieldPosition="0">
        <references count="7">
          <reference field="0" count="1" selected="0">
            <x v="133"/>
          </reference>
          <reference field="4" count="1" selected="0">
            <x v="0"/>
          </reference>
          <reference field="6" count="1" selected="0">
            <x v="5"/>
          </reference>
          <reference field="7" count="1" selected="0">
            <x v="5"/>
          </reference>
          <reference field="10" count="1" selected="0">
            <x v="11"/>
          </reference>
          <reference field="11" count="1" selected="0">
            <x v="171"/>
          </reference>
          <reference field="14" count="1">
            <x v="0"/>
          </reference>
        </references>
      </pivotArea>
    </format>
    <format dxfId="75">
      <pivotArea dataOnly="0" labelOnly="1" outline="0" fieldPosition="0">
        <references count="7">
          <reference field="0" count="1" selected="0">
            <x v="156"/>
          </reference>
          <reference field="4" count="1" selected="0">
            <x v="0"/>
          </reference>
          <reference field="6" count="1" selected="0">
            <x v="5"/>
          </reference>
          <reference field="7" count="1" selected="0">
            <x v="5"/>
          </reference>
          <reference field="10" count="1" selected="0">
            <x v="11"/>
          </reference>
          <reference field="11" count="1" selected="0">
            <x v="173"/>
          </reference>
          <reference field="14" count="1">
            <x v="0"/>
          </reference>
        </references>
      </pivotArea>
    </format>
    <format dxfId="74">
      <pivotArea dataOnly="0" labelOnly="1" outline="0" fieldPosition="0">
        <references count="7">
          <reference field="0" count="1" selected="0">
            <x v="159"/>
          </reference>
          <reference field="4" count="1" selected="0">
            <x v="0"/>
          </reference>
          <reference field="6" count="1" selected="0">
            <x v="5"/>
          </reference>
          <reference field="7" count="1" selected="0">
            <x v="5"/>
          </reference>
          <reference field="10" count="1" selected="0">
            <x v="11"/>
          </reference>
          <reference field="11" count="1" selected="0">
            <x v="115"/>
          </reference>
          <reference field="14" count="1">
            <x v="0"/>
          </reference>
        </references>
      </pivotArea>
    </format>
    <format dxfId="73">
      <pivotArea dataOnly="0" labelOnly="1" outline="0" fieldPosition="0">
        <references count="7">
          <reference field="0" count="1" selected="0">
            <x v="106"/>
          </reference>
          <reference field="4" count="1" selected="0">
            <x v="0"/>
          </reference>
          <reference field="6" count="1" selected="0">
            <x v="6"/>
          </reference>
          <reference field="7" count="1" selected="0">
            <x v="4"/>
          </reference>
          <reference field="10" count="1" selected="0">
            <x v="0"/>
          </reference>
          <reference field="11" count="1" selected="0">
            <x v="83"/>
          </reference>
          <reference field="14" count="1">
            <x v="0"/>
          </reference>
        </references>
      </pivotArea>
    </format>
    <format dxfId="72">
      <pivotArea dataOnly="0" labelOnly="1" outline="0" fieldPosition="0">
        <references count="7">
          <reference field="0" count="1" selected="0">
            <x v="83"/>
          </reference>
          <reference field="4" count="1" selected="0">
            <x v="0"/>
          </reference>
          <reference field="6" count="1" selected="0">
            <x v="6"/>
          </reference>
          <reference field="7" count="1" selected="0">
            <x v="4"/>
          </reference>
          <reference field="10" count="1" selected="0">
            <x v="12"/>
          </reference>
          <reference field="11" count="1" selected="0">
            <x v="129"/>
          </reference>
          <reference field="14" count="1">
            <x v="0"/>
          </reference>
        </references>
      </pivotArea>
    </format>
    <format dxfId="71">
      <pivotArea dataOnly="0" labelOnly="1" outline="0" fieldPosition="0">
        <references count="7">
          <reference field="0" count="1" selected="0">
            <x v="189"/>
          </reference>
          <reference field="4" count="1" selected="0">
            <x v="0"/>
          </reference>
          <reference field="6" count="1" selected="0">
            <x v="6"/>
          </reference>
          <reference field="7" count="1" selected="0">
            <x v="4"/>
          </reference>
          <reference field="10" count="1" selected="0">
            <x v="12"/>
          </reference>
          <reference field="11" count="1" selected="0">
            <x v="26"/>
          </reference>
          <reference field="14" count="1">
            <x v="0"/>
          </reference>
        </references>
      </pivotArea>
    </format>
    <format dxfId="70">
      <pivotArea dataOnly="0" labelOnly="1" outline="0" fieldPosition="0">
        <references count="7">
          <reference field="0" count="1" selected="0">
            <x v="5"/>
          </reference>
          <reference field="4" count="1" selected="0">
            <x v="0"/>
          </reference>
          <reference field="6" count="1" selected="0">
            <x v="7"/>
          </reference>
          <reference field="7" count="1" selected="0">
            <x v="5"/>
          </reference>
          <reference field="10" count="1" selected="0">
            <x v="11"/>
          </reference>
          <reference field="11" count="1" selected="0">
            <x v="10"/>
          </reference>
          <reference field="14" count="1">
            <x v="0"/>
          </reference>
        </references>
      </pivotArea>
    </format>
    <format dxfId="69">
      <pivotArea dataOnly="0" labelOnly="1" outline="0" fieldPosition="0">
        <references count="7">
          <reference field="0" count="1" selected="0">
            <x v="6"/>
          </reference>
          <reference field="4" count="1" selected="0">
            <x v="0"/>
          </reference>
          <reference field="6" count="1" selected="0">
            <x v="7"/>
          </reference>
          <reference field="7" count="1" selected="0">
            <x v="5"/>
          </reference>
          <reference field="10" count="1" selected="0">
            <x v="11"/>
          </reference>
          <reference field="11" count="1" selected="0">
            <x v="11"/>
          </reference>
          <reference field="14" count="1">
            <x v="0"/>
          </reference>
        </references>
      </pivotArea>
    </format>
    <format dxfId="68">
      <pivotArea dataOnly="0" labelOnly="1" outline="0" fieldPosition="0">
        <references count="7">
          <reference field="0" count="1" selected="0">
            <x v="47"/>
          </reference>
          <reference field="4" count="1" selected="0">
            <x v="0"/>
          </reference>
          <reference field="6" count="1" selected="0">
            <x v="7"/>
          </reference>
          <reference field="7" count="1" selected="0">
            <x v="5"/>
          </reference>
          <reference field="10" count="1" selected="0">
            <x v="11"/>
          </reference>
          <reference field="11" count="1" selected="0">
            <x v="55"/>
          </reference>
          <reference field="14" count="1">
            <x v="0"/>
          </reference>
        </references>
      </pivotArea>
    </format>
    <format dxfId="67">
      <pivotArea dataOnly="0" labelOnly="1" outline="0" fieldPosition="0">
        <references count="7">
          <reference field="0" count="1" selected="0">
            <x v="85"/>
          </reference>
          <reference field="4" count="1" selected="0">
            <x v="0"/>
          </reference>
          <reference field="6" count="1" selected="0">
            <x v="7"/>
          </reference>
          <reference field="7" count="1" selected="0">
            <x v="5"/>
          </reference>
          <reference field="10" count="1" selected="0">
            <x v="11"/>
          </reference>
          <reference field="11" count="1" selected="0">
            <x v="12"/>
          </reference>
          <reference field="14" count="1">
            <x v="0"/>
          </reference>
        </references>
      </pivotArea>
    </format>
    <format dxfId="66">
      <pivotArea dataOnly="0" labelOnly="1" outline="0" fieldPosition="0">
        <references count="7">
          <reference field="0" count="1" selected="0">
            <x v="108"/>
          </reference>
          <reference field="4" count="1" selected="0">
            <x v="0"/>
          </reference>
          <reference field="6" count="1" selected="0">
            <x v="9"/>
          </reference>
          <reference field="7" count="1" selected="0">
            <x v="4"/>
          </reference>
          <reference field="10" count="1" selected="0">
            <x v="11"/>
          </reference>
          <reference field="11" count="1" selected="0">
            <x v="137"/>
          </reference>
          <reference field="14" count="1">
            <x v="0"/>
          </reference>
        </references>
      </pivotArea>
    </format>
    <format dxfId="65">
      <pivotArea dataOnly="0" labelOnly="1" outline="0" fieldPosition="0">
        <references count="7">
          <reference field="0" count="1" selected="0">
            <x v="12"/>
          </reference>
          <reference field="4" count="1" selected="0">
            <x v="0"/>
          </reference>
          <reference field="6" count="1" selected="0">
            <x v="9"/>
          </reference>
          <reference field="7" count="1" selected="0">
            <x v="5"/>
          </reference>
          <reference field="10" count="1" selected="0">
            <x v="0"/>
          </reference>
          <reference field="11" count="1" selected="0">
            <x v="82"/>
          </reference>
          <reference field="14" count="1">
            <x v="0"/>
          </reference>
        </references>
      </pivotArea>
    </format>
    <format dxfId="64">
      <pivotArea dataOnly="0" labelOnly="1" outline="0" fieldPosition="0">
        <references count="7">
          <reference field="0" count="1" selected="0">
            <x v="14"/>
          </reference>
          <reference field="4" count="1" selected="0">
            <x v="0"/>
          </reference>
          <reference field="6" count="1" selected="0">
            <x v="9"/>
          </reference>
          <reference field="7" count="1" selected="0">
            <x v="5"/>
          </reference>
          <reference field="10" count="1" selected="0">
            <x v="0"/>
          </reference>
          <reference field="11" count="1" selected="0">
            <x v="19"/>
          </reference>
          <reference field="14" count="1">
            <x v="0"/>
          </reference>
        </references>
      </pivotArea>
    </format>
    <format dxfId="63">
      <pivotArea dataOnly="0" labelOnly="1" outline="0" fieldPosition="0">
        <references count="7">
          <reference field="0" count="1" selected="0">
            <x v="15"/>
          </reference>
          <reference field="4" count="1" selected="0">
            <x v="0"/>
          </reference>
          <reference field="6" count="1" selected="0">
            <x v="9"/>
          </reference>
          <reference field="7" count="1" selected="0">
            <x v="5"/>
          </reference>
          <reference field="10" count="1" selected="0">
            <x v="0"/>
          </reference>
          <reference field="11" count="1" selected="0">
            <x v="19"/>
          </reference>
          <reference field="14" count="1">
            <x v="0"/>
          </reference>
        </references>
      </pivotArea>
    </format>
    <format dxfId="62">
      <pivotArea dataOnly="0" labelOnly="1" outline="0" fieldPosition="0">
        <references count="7">
          <reference field="0" count="1" selected="0">
            <x v="25"/>
          </reference>
          <reference field="4" count="1" selected="0">
            <x v="0"/>
          </reference>
          <reference field="6" count="1" selected="0">
            <x v="9"/>
          </reference>
          <reference field="7" count="1" selected="0">
            <x v="5"/>
          </reference>
          <reference field="10" count="1" selected="0">
            <x v="0"/>
          </reference>
          <reference field="11" count="1" selected="0">
            <x v="3"/>
          </reference>
          <reference field="14" count="1">
            <x v="0"/>
          </reference>
        </references>
      </pivotArea>
    </format>
    <format dxfId="61">
      <pivotArea dataOnly="0" labelOnly="1" outline="0" fieldPosition="0">
        <references count="7">
          <reference field="0" count="1" selected="0">
            <x v="40"/>
          </reference>
          <reference field="4" count="1" selected="0">
            <x v="0"/>
          </reference>
          <reference field="6" count="1" selected="0">
            <x v="9"/>
          </reference>
          <reference field="7" count="1" selected="0">
            <x v="5"/>
          </reference>
          <reference field="10" count="1" selected="0">
            <x v="0"/>
          </reference>
          <reference field="11" count="1" selected="0">
            <x v="180"/>
          </reference>
          <reference field="14" count="1">
            <x v="0"/>
          </reference>
        </references>
      </pivotArea>
    </format>
    <format dxfId="60">
      <pivotArea dataOnly="0" labelOnly="1" outline="0" fieldPosition="0">
        <references count="7">
          <reference field="0" count="1" selected="0">
            <x v="67"/>
          </reference>
          <reference field="4" count="1" selected="0">
            <x v="0"/>
          </reference>
          <reference field="6" count="1" selected="0">
            <x v="9"/>
          </reference>
          <reference field="7" count="1" selected="0">
            <x v="5"/>
          </reference>
          <reference field="10" count="1" selected="0">
            <x v="2"/>
          </reference>
          <reference field="11" count="1" selected="0">
            <x v="78"/>
          </reference>
          <reference field="14" count="1">
            <x v="0"/>
          </reference>
        </references>
      </pivotArea>
    </format>
    <format dxfId="59">
      <pivotArea dataOnly="0" labelOnly="1" outline="0" fieldPosition="0">
        <references count="7">
          <reference field="0" count="1" selected="0">
            <x v="26"/>
          </reference>
          <reference field="4" count="1" selected="0">
            <x v="0"/>
          </reference>
          <reference field="6" count="1" selected="0">
            <x v="9"/>
          </reference>
          <reference field="7" count="1" selected="0">
            <x v="5"/>
          </reference>
          <reference field="10" count="1" selected="0">
            <x v="5"/>
          </reference>
          <reference field="11" count="1" selected="0">
            <x v="179"/>
          </reference>
          <reference field="14" count="1">
            <x v="0"/>
          </reference>
        </references>
      </pivotArea>
    </format>
    <format dxfId="58">
      <pivotArea dataOnly="0" labelOnly="1" outline="0" fieldPosition="0">
        <references count="7">
          <reference field="0" count="1" selected="0">
            <x v="42"/>
          </reference>
          <reference field="4" count="1" selected="0">
            <x v="0"/>
          </reference>
          <reference field="6" count="1" selected="0">
            <x v="9"/>
          </reference>
          <reference field="7" count="1" selected="0">
            <x v="5"/>
          </reference>
          <reference field="10" count="1" selected="0">
            <x v="5"/>
          </reference>
          <reference field="11" count="1" selected="0">
            <x v="141"/>
          </reference>
          <reference field="14" count="1">
            <x v="0"/>
          </reference>
        </references>
      </pivotArea>
    </format>
    <format dxfId="57">
      <pivotArea dataOnly="0" labelOnly="1" outline="0" fieldPosition="0">
        <references count="7">
          <reference field="0" count="1" selected="0">
            <x v="51"/>
          </reference>
          <reference field="4" count="1" selected="0">
            <x v="0"/>
          </reference>
          <reference field="6" count="1" selected="0">
            <x v="9"/>
          </reference>
          <reference field="7" count="1" selected="0">
            <x v="5"/>
          </reference>
          <reference field="10" count="1" selected="0">
            <x v="5"/>
          </reference>
          <reference field="11" count="1" selected="0">
            <x v="144"/>
          </reference>
          <reference field="14" count="1">
            <x v="0"/>
          </reference>
        </references>
      </pivotArea>
    </format>
    <format dxfId="56">
      <pivotArea dataOnly="0" labelOnly="1" outline="0" fieldPosition="0">
        <references count="7">
          <reference field="0" count="1" selected="0">
            <x v="52"/>
          </reference>
          <reference field="4" count="1" selected="0">
            <x v="0"/>
          </reference>
          <reference field="6" count="1" selected="0">
            <x v="9"/>
          </reference>
          <reference field="7" count="1" selected="0">
            <x v="5"/>
          </reference>
          <reference field="10" count="1" selected="0">
            <x v="5"/>
          </reference>
          <reference field="11" count="1" selected="0">
            <x v="145"/>
          </reference>
          <reference field="14" count="1">
            <x v="0"/>
          </reference>
        </references>
      </pivotArea>
    </format>
    <format dxfId="55">
      <pivotArea dataOnly="0" labelOnly="1" outline="0" fieldPosition="0">
        <references count="7">
          <reference field="0" count="1" selected="0">
            <x v="53"/>
          </reference>
          <reference field="4" count="1" selected="0">
            <x v="0"/>
          </reference>
          <reference field="6" count="1" selected="0">
            <x v="9"/>
          </reference>
          <reference field="7" count="1" selected="0">
            <x v="5"/>
          </reference>
          <reference field="10" count="1" selected="0">
            <x v="5"/>
          </reference>
          <reference field="11" count="1" selected="0">
            <x v="146"/>
          </reference>
          <reference field="14" count="1">
            <x v="0"/>
          </reference>
        </references>
      </pivotArea>
    </format>
    <format dxfId="54">
      <pivotArea dataOnly="0" labelOnly="1" outline="0" fieldPosition="0">
        <references count="7">
          <reference field="0" count="1" selected="0">
            <x v="64"/>
          </reference>
          <reference field="4" count="1" selected="0">
            <x v="0"/>
          </reference>
          <reference field="6" count="1" selected="0">
            <x v="9"/>
          </reference>
          <reference field="7" count="1" selected="0">
            <x v="5"/>
          </reference>
          <reference field="10" count="1" selected="0">
            <x v="5"/>
          </reference>
          <reference field="11" count="1" selected="0">
            <x v="136"/>
          </reference>
          <reference field="14" count="1">
            <x v="0"/>
          </reference>
        </references>
      </pivotArea>
    </format>
    <format dxfId="53">
      <pivotArea dataOnly="0" labelOnly="1" outline="0" fieldPosition="0">
        <references count="7">
          <reference field="0" count="1" selected="0">
            <x v="80"/>
          </reference>
          <reference field="4" count="1" selected="0">
            <x v="0"/>
          </reference>
          <reference field="6" count="1" selected="0">
            <x v="9"/>
          </reference>
          <reference field="7" count="1" selected="0">
            <x v="5"/>
          </reference>
          <reference field="10" count="1" selected="0">
            <x v="5"/>
          </reference>
          <reference field="11" count="1" selected="0">
            <x v="29"/>
          </reference>
          <reference field="14" count="1">
            <x v="0"/>
          </reference>
        </references>
      </pivotArea>
    </format>
    <format dxfId="52">
      <pivotArea dataOnly="0" labelOnly="1" outline="0" fieldPosition="0">
        <references count="7">
          <reference field="0" count="1" selected="0">
            <x v="104"/>
          </reference>
          <reference field="4" count="1" selected="0">
            <x v="0"/>
          </reference>
          <reference field="6" count="1" selected="0">
            <x v="9"/>
          </reference>
          <reference field="7" count="1" selected="0">
            <x v="5"/>
          </reference>
          <reference field="10" count="1" selected="0">
            <x v="5"/>
          </reference>
          <reference field="11" count="1" selected="0">
            <x v="138"/>
          </reference>
          <reference field="14" count="1">
            <x v="0"/>
          </reference>
        </references>
      </pivotArea>
    </format>
    <format dxfId="51">
      <pivotArea dataOnly="0" labelOnly="1" outline="0" fieldPosition="0">
        <references count="7">
          <reference field="0" count="1" selected="0">
            <x v="112"/>
          </reference>
          <reference field="4" count="1" selected="0">
            <x v="0"/>
          </reference>
          <reference field="6" count="1" selected="0">
            <x v="9"/>
          </reference>
          <reference field="7" count="1" selected="0">
            <x v="5"/>
          </reference>
          <reference field="10" count="1" selected="0">
            <x v="5"/>
          </reference>
          <reference field="11" count="1" selected="0">
            <x v="89"/>
          </reference>
          <reference field="14" count="1">
            <x v="0"/>
          </reference>
        </references>
      </pivotArea>
    </format>
    <format dxfId="50">
      <pivotArea dataOnly="0" labelOnly="1" outline="0" fieldPosition="0">
        <references count="7">
          <reference field="0" count="1" selected="0">
            <x v="161"/>
          </reference>
          <reference field="4" count="1" selected="0">
            <x v="0"/>
          </reference>
          <reference field="6" count="1" selected="0">
            <x v="9"/>
          </reference>
          <reference field="7" count="1" selected="0">
            <x v="5"/>
          </reference>
          <reference field="10" count="1" selected="0">
            <x v="11"/>
          </reference>
          <reference field="11" count="1" selected="0">
            <x v="200"/>
          </reference>
          <reference field="14" count="1">
            <x v="0"/>
          </reference>
        </references>
      </pivotArea>
    </format>
    <format dxfId="49">
      <pivotArea dataOnly="0" labelOnly="1" outline="0" fieldPosition="0">
        <references count="7">
          <reference field="0" count="1" selected="0">
            <x v="123"/>
          </reference>
          <reference field="4" count="1" selected="0">
            <x v="0"/>
          </reference>
          <reference field="6" count="1" selected="0">
            <x v="10"/>
          </reference>
          <reference field="7" count="1" selected="0">
            <x v="5"/>
          </reference>
          <reference field="10" count="1" selected="0">
            <x v="0"/>
          </reference>
          <reference field="11" count="1" selected="0">
            <x v="116"/>
          </reference>
          <reference field="14" count="1">
            <x v="0"/>
          </reference>
        </references>
      </pivotArea>
    </format>
    <format dxfId="48">
      <pivotArea dataOnly="0" labelOnly="1" outline="0" fieldPosition="0">
        <references count="7">
          <reference field="0" count="1" selected="0">
            <x v="7"/>
          </reference>
          <reference field="4" count="1" selected="0">
            <x v="0"/>
          </reference>
          <reference field="6" count="1" selected="0">
            <x v="10"/>
          </reference>
          <reference field="7" count="1" selected="0">
            <x v="5"/>
          </reference>
          <reference field="10" count="1" selected="0">
            <x v="3"/>
          </reference>
          <reference field="11" count="1" selected="0">
            <x v="16"/>
          </reference>
          <reference field="14" count="1">
            <x v="0"/>
          </reference>
        </references>
      </pivotArea>
    </format>
    <format dxfId="47">
      <pivotArea dataOnly="0" labelOnly="1" outline="0" fieldPosition="0">
        <references count="7">
          <reference field="0" count="1" selected="0">
            <x v="168"/>
          </reference>
          <reference field="4" count="1" selected="0">
            <x v="0"/>
          </reference>
          <reference field="6" count="1" selected="0">
            <x v="10"/>
          </reference>
          <reference field="7" count="1" selected="0">
            <x v="5"/>
          </reference>
          <reference field="10" count="1" selected="0">
            <x v="3"/>
          </reference>
          <reference field="11" count="1" selected="0">
            <x v="87"/>
          </reference>
          <reference field="14" count="1">
            <x v="0"/>
          </reference>
        </references>
      </pivotArea>
    </format>
    <format dxfId="46">
      <pivotArea dataOnly="0" labelOnly="1" outline="0" fieldPosition="0">
        <references count="7">
          <reference field="0" count="1" selected="0">
            <x v="169"/>
          </reference>
          <reference field="4" count="1" selected="0">
            <x v="0"/>
          </reference>
          <reference field="6" count="1" selected="0">
            <x v="10"/>
          </reference>
          <reference field="7" count="1" selected="0">
            <x v="5"/>
          </reference>
          <reference field="10" count="1" selected="0">
            <x v="3"/>
          </reference>
          <reference field="11" count="1" selected="0">
            <x v="18"/>
          </reference>
          <reference field="14" count="1">
            <x v="0"/>
          </reference>
        </references>
      </pivotArea>
    </format>
    <format dxfId="45">
      <pivotArea dataOnly="0" labelOnly="1" outline="0" fieldPosition="0">
        <references count="7">
          <reference field="0" count="1" selected="0">
            <x v="170"/>
          </reference>
          <reference field="4" count="1" selected="0">
            <x v="0"/>
          </reference>
          <reference field="6" count="1" selected="0">
            <x v="10"/>
          </reference>
          <reference field="7" count="1" selected="0">
            <x v="5"/>
          </reference>
          <reference field="10" count="1" selected="0">
            <x v="3"/>
          </reference>
          <reference field="11" count="1" selected="0">
            <x v="210"/>
          </reference>
          <reference field="14" count="1">
            <x v="0"/>
          </reference>
        </references>
      </pivotArea>
    </format>
    <format dxfId="44">
      <pivotArea dataOnly="0" labelOnly="1" outline="0" fieldPosition="0">
        <references count="7">
          <reference field="0" count="1" selected="0">
            <x v="45"/>
          </reference>
          <reference field="4" count="1" selected="0">
            <x v="0"/>
          </reference>
          <reference field="6" count="1" selected="0">
            <x v="10"/>
          </reference>
          <reference field="7" count="1" selected="0">
            <x v="5"/>
          </reference>
          <reference field="10" count="1" selected="0">
            <x v="5"/>
          </reference>
          <reference field="11" count="1" selected="0">
            <x v="52"/>
          </reference>
          <reference field="14" count="1">
            <x v="0"/>
          </reference>
        </references>
      </pivotArea>
    </format>
    <format dxfId="43">
      <pivotArea dataOnly="0" labelOnly="1" outline="0" fieldPosition="0">
        <references count="7">
          <reference field="0" count="1" selected="0">
            <x v="71"/>
          </reference>
          <reference field="4" count="1" selected="0">
            <x v="0"/>
          </reference>
          <reference field="6" count="1" selected="0">
            <x v="10"/>
          </reference>
          <reference field="7" count="1" selected="0">
            <x v="5"/>
          </reference>
          <reference field="10" count="1" selected="0">
            <x v="5"/>
          </reference>
          <reference field="11" count="1" selected="0">
            <x v="167"/>
          </reference>
          <reference field="14" count="1">
            <x v="0"/>
          </reference>
        </references>
      </pivotArea>
    </format>
    <format dxfId="42">
      <pivotArea dataOnly="0" labelOnly="1" outline="0" fieldPosition="0">
        <references count="7">
          <reference field="0" count="1" selected="0">
            <x v="76"/>
          </reference>
          <reference field="4" count="1" selected="0">
            <x v="0"/>
          </reference>
          <reference field="6" count="1" selected="0">
            <x v="10"/>
          </reference>
          <reference field="7" count="1" selected="0">
            <x v="5"/>
          </reference>
          <reference field="10" count="1" selected="0">
            <x v="5"/>
          </reference>
          <reference field="11" count="1" selected="0">
            <x v="70"/>
          </reference>
          <reference field="14" count="1">
            <x v="0"/>
          </reference>
        </references>
      </pivotArea>
    </format>
    <format dxfId="41">
      <pivotArea dataOnly="0" labelOnly="1" outline="0" fieldPosition="0">
        <references count="7">
          <reference field="0" count="1" selected="0">
            <x v="122"/>
          </reference>
          <reference field="4" count="1" selected="0">
            <x v="0"/>
          </reference>
          <reference field="6" count="1" selected="0">
            <x v="10"/>
          </reference>
          <reference field="7" count="1" selected="0">
            <x v="5"/>
          </reference>
          <reference field="10" count="1" selected="0">
            <x v="5"/>
          </reference>
          <reference field="11" count="1" selected="0">
            <x v="56"/>
          </reference>
          <reference field="14" count="1">
            <x v="0"/>
          </reference>
        </references>
      </pivotArea>
    </format>
    <format dxfId="40">
      <pivotArea dataOnly="0" labelOnly="1" outline="0" fieldPosition="0">
        <references count="7">
          <reference field="0" count="1" selected="0">
            <x v="130"/>
          </reference>
          <reference field="4" count="1" selected="0">
            <x v="0"/>
          </reference>
          <reference field="6" count="1" selected="0">
            <x v="10"/>
          </reference>
          <reference field="7" count="1" selected="0">
            <x v="5"/>
          </reference>
          <reference field="10" count="1" selected="0">
            <x v="5"/>
          </reference>
          <reference field="11" count="1" selected="0">
            <x v="126"/>
          </reference>
          <reference field="14" count="1">
            <x v="0"/>
          </reference>
        </references>
      </pivotArea>
    </format>
    <format dxfId="39">
      <pivotArea dataOnly="0" labelOnly="1" outline="0" fieldPosition="0">
        <references count="7">
          <reference field="0" count="1" selected="0">
            <x v="180"/>
          </reference>
          <reference field="4" count="1" selected="0">
            <x v="0"/>
          </reference>
          <reference field="6" count="1" selected="0">
            <x v="10"/>
          </reference>
          <reference field="7" count="1" selected="0">
            <x v="5"/>
          </reference>
          <reference field="10" count="1" selected="0">
            <x v="5"/>
          </reference>
          <reference field="11" count="1" selected="0">
            <x v="187"/>
          </reference>
          <reference field="14" count="1">
            <x v="0"/>
          </reference>
        </references>
      </pivotArea>
    </format>
    <format dxfId="38">
      <pivotArea dataOnly="0" labelOnly="1" outline="0" fieldPosition="0">
        <references count="7">
          <reference field="0" count="1" selected="0">
            <x v="181"/>
          </reference>
          <reference field="4" count="1" selected="0">
            <x v="0"/>
          </reference>
          <reference field="6" count="1" selected="0">
            <x v="10"/>
          </reference>
          <reference field="7" count="1" selected="0">
            <x v="5"/>
          </reference>
          <reference field="10" count="1" selected="0">
            <x v="5"/>
          </reference>
          <reference field="11" count="1" selected="0">
            <x v="188"/>
          </reference>
          <reference field="14" count="1">
            <x v="0"/>
          </reference>
        </references>
      </pivotArea>
    </format>
    <format dxfId="37">
      <pivotArea dataOnly="0" labelOnly="1" outline="0" fieldPosition="0">
        <references count="7">
          <reference field="0" count="1" selected="0">
            <x v="182"/>
          </reference>
          <reference field="4" count="1" selected="0">
            <x v="0"/>
          </reference>
          <reference field="6" count="1" selected="0">
            <x v="10"/>
          </reference>
          <reference field="7" count="1" selected="0">
            <x v="5"/>
          </reference>
          <reference field="10" count="1" selected="0">
            <x v="5"/>
          </reference>
          <reference field="11" count="1" selected="0">
            <x v="189"/>
          </reference>
          <reference field="14" count="1">
            <x v="0"/>
          </reference>
        </references>
      </pivotArea>
    </format>
    <format dxfId="36">
      <pivotArea dataOnly="0" labelOnly="1" outline="0" fieldPosition="0">
        <references count="7">
          <reference field="0" count="1" selected="0">
            <x v="183"/>
          </reference>
          <reference field="4" count="1" selected="0">
            <x v="0"/>
          </reference>
          <reference field="6" count="1" selected="0">
            <x v="10"/>
          </reference>
          <reference field="7" count="1" selected="0">
            <x v="5"/>
          </reference>
          <reference field="10" count="1" selected="0">
            <x v="5"/>
          </reference>
          <reference field="11" count="1" selected="0">
            <x v="190"/>
          </reference>
          <reference field="14" count="1">
            <x v="0"/>
          </reference>
        </references>
      </pivotArea>
    </format>
    <format dxfId="35">
      <pivotArea dataOnly="0" labelOnly="1" outline="0" fieldPosition="0">
        <references count="7">
          <reference field="0" count="1" selected="0">
            <x v="184"/>
          </reference>
          <reference field="4" count="1" selected="0">
            <x v="0"/>
          </reference>
          <reference field="6" count="1" selected="0">
            <x v="10"/>
          </reference>
          <reference field="7" count="1" selected="0">
            <x v="5"/>
          </reference>
          <reference field="10" count="1" selected="0">
            <x v="5"/>
          </reference>
          <reference field="11" count="1" selected="0">
            <x v="135"/>
          </reference>
          <reference field="14" count="1">
            <x v="0"/>
          </reference>
        </references>
      </pivotArea>
    </format>
    <format dxfId="34">
      <pivotArea dataOnly="0" labelOnly="1" outline="0" fieldPosition="0">
        <references count="7">
          <reference field="0" count="1" selected="0">
            <x v="208"/>
          </reference>
          <reference field="4" count="1" selected="0">
            <x v="0"/>
          </reference>
          <reference field="6" count="1" selected="0">
            <x v="10"/>
          </reference>
          <reference field="7" count="1" selected="0">
            <x v="5"/>
          </reference>
          <reference field="10" count="1" selected="0">
            <x v="5"/>
          </reference>
          <reference field="11" count="1" selected="0">
            <x v="212"/>
          </reference>
          <reference field="14" count="1">
            <x v="0"/>
          </reference>
        </references>
      </pivotArea>
    </format>
    <format dxfId="33">
      <pivotArea dataOnly="0" labelOnly="1" outline="0" fieldPosition="0">
        <references count="7">
          <reference field="0" count="1" selected="0">
            <x v="77"/>
          </reference>
          <reference field="4" count="1" selected="0">
            <x v="0"/>
          </reference>
          <reference field="6" count="1" selected="0">
            <x v="10"/>
          </reference>
          <reference field="7" count="1" selected="0">
            <x v="5"/>
          </reference>
          <reference field="10" count="1" selected="0">
            <x v="11"/>
          </reference>
          <reference field="11" count="1" selected="0">
            <x v="72"/>
          </reference>
          <reference field="14" count="1">
            <x v="0"/>
          </reference>
        </references>
      </pivotArea>
    </format>
    <format dxfId="32">
      <pivotArea dataOnly="0" labelOnly="1" outline="0" fieldPosition="0">
        <references count="7">
          <reference field="0" count="1" selected="0">
            <x v="146"/>
          </reference>
          <reference field="4" count="1" selected="0">
            <x v="0"/>
          </reference>
          <reference field="6" count="1" selected="0">
            <x v="10"/>
          </reference>
          <reference field="7" count="1" selected="0">
            <x v="5"/>
          </reference>
          <reference field="10" count="1" selected="0">
            <x v="11"/>
          </reference>
          <reference field="11" count="1" selected="0">
            <x v="57"/>
          </reference>
          <reference field="14" count="1">
            <x v="0"/>
          </reference>
        </references>
      </pivotArea>
    </format>
    <format dxfId="31">
      <pivotArea dataOnly="0" labelOnly="1" outline="0" fieldPosition="0">
        <references count="7">
          <reference field="0" count="1" selected="0">
            <x v="116"/>
          </reference>
          <reference field="4" count="1" selected="0">
            <x v="0"/>
          </reference>
          <reference field="6" count="1" selected="0">
            <x v="12"/>
          </reference>
          <reference field="7" count="1" selected="0">
            <x v="5"/>
          </reference>
          <reference field="10" count="1" selected="0">
            <x v="0"/>
          </reference>
          <reference field="11" count="1" selected="0">
            <x v="133"/>
          </reference>
          <reference field="14" count="1">
            <x v="0"/>
          </reference>
        </references>
      </pivotArea>
    </format>
    <format dxfId="30">
      <pivotArea dataOnly="0" labelOnly="1" outline="0" fieldPosition="0">
        <references count="7">
          <reference field="0" count="1" selected="0">
            <x v="141"/>
          </reference>
          <reference field="4" count="1" selected="0">
            <x v="0"/>
          </reference>
          <reference field="6" count="1" selected="0">
            <x v="12"/>
          </reference>
          <reference field="7" count="1" selected="0">
            <x v="5"/>
          </reference>
          <reference field="10" count="1" selected="0">
            <x v="0"/>
          </reference>
          <reference field="11" count="1" selected="0">
            <x v="183"/>
          </reference>
          <reference field="14" count="1">
            <x v="0"/>
          </reference>
        </references>
      </pivotArea>
    </format>
    <format dxfId="29">
      <pivotArea dataOnly="0" labelOnly="1" outline="0" fieldPosition="0">
        <references count="7">
          <reference field="0" count="1" selected="0">
            <x v="111"/>
          </reference>
          <reference field="4" count="1" selected="0">
            <x v="0"/>
          </reference>
          <reference field="6" count="1" selected="0">
            <x v="12"/>
          </reference>
          <reference field="7" count="1" selected="0">
            <x v="5"/>
          </reference>
          <reference field="10" count="1" selected="0">
            <x v="11"/>
          </reference>
          <reference field="11" count="1" selected="0">
            <x v="127"/>
          </reference>
          <reference field="14" count="1">
            <x v="0"/>
          </reference>
        </references>
      </pivotArea>
    </format>
    <format dxfId="28">
      <pivotArea dataOnly="0" labelOnly="1" outline="0" fieldPosition="0">
        <references count="7">
          <reference field="0" count="1" selected="0">
            <x v="121"/>
          </reference>
          <reference field="4" count="1" selected="0">
            <x v="0"/>
          </reference>
          <reference field="6" count="1" selected="0">
            <x v="12"/>
          </reference>
          <reference field="7" count="1" selected="0">
            <x v="5"/>
          </reference>
          <reference field="10" count="1" selected="0">
            <x v="11"/>
          </reference>
          <reference field="11" count="1" selected="0">
            <x v="68"/>
          </reference>
          <reference field="14" count="1">
            <x v="0"/>
          </reference>
        </references>
      </pivotArea>
    </format>
    <format dxfId="27">
      <pivotArea dataOnly="0" labelOnly="1" outline="0" fieldPosition="0">
        <references count="7">
          <reference field="0" count="1" selected="0">
            <x v="91"/>
          </reference>
          <reference field="4" count="1" selected="0">
            <x v="0"/>
          </reference>
          <reference field="6" count="1" selected="0">
            <x v="13"/>
          </reference>
          <reference field="7" count="1" selected="0">
            <x v="5"/>
          </reference>
          <reference field="10" count="1" selected="0">
            <x v="2"/>
          </reference>
          <reference field="11" count="1" selected="0">
            <x v="98"/>
          </reference>
          <reference field="14" count="1">
            <x v="0"/>
          </reference>
        </references>
      </pivotArea>
    </format>
    <format dxfId="26">
      <pivotArea dataOnly="0" labelOnly="1" outline="0" fieldPosition="0">
        <references count="7">
          <reference field="0" count="1" selected="0">
            <x v="93"/>
          </reference>
          <reference field="4" count="1" selected="0">
            <x v="0"/>
          </reference>
          <reference field="6" count="1" selected="0">
            <x v="13"/>
          </reference>
          <reference field="7" count="1" selected="0">
            <x v="5"/>
          </reference>
          <reference field="10" count="1" selected="0">
            <x v="2"/>
          </reference>
          <reference field="11" count="1" selected="0">
            <x v="61"/>
          </reference>
          <reference field="14" count="1">
            <x v="0"/>
          </reference>
        </references>
      </pivotArea>
    </format>
    <format dxfId="25">
      <pivotArea dataOnly="0" labelOnly="1" outline="0" fieldPosition="0">
        <references count="7">
          <reference field="0" count="1" selected="0">
            <x v="110"/>
          </reference>
          <reference field="4" count="1" selected="0">
            <x v="0"/>
          </reference>
          <reference field="6" count="1" selected="0">
            <x v="13"/>
          </reference>
          <reference field="7" count="1" selected="0">
            <x v="5"/>
          </reference>
          <reference field="10" count="1" selected="0">
            <x v="2"/>
          </reference>
          <reference field="11" count="1" selected="0">
            <x v="112"/>
          </reference>
          <reference field="14" count="1">
            <x v="0"/>
          </reference>
        </references>
      </pivotArea>
    </format>
    <format dxfId="24">
      <pivotArea dataOnly="0" labelOnly="1" outline="0" fieldPosition="0">
        <references count="7">
          <reference field="0" count="1" selected="0">
            <x v="126"/>
          </reference>
          <reference field="4" count="1" selected="0">
            <x v="0"/>
          </reference>
          <reference field="6" count="1" selected="0">
            <x v="13"/>
          </reference>
          <reference field="7" count="1" selected="0">
            <x v="5"/>
          </reference>
          <reference field="10" count="1" selected="0">
            <x v="2"/>
          </reference>
          <reference field="11" count="1" selected="0">
            <x v="202"/>
          </reference>
          <reference field="14" count="1">
            <x v="0"/>
          </reference>
        </references>
      </pivotArea>
    </format>
    <format dxfId="23">
      <pivotArea dataOnly="0" labelOnly="1" outline="0" fieldPosition="0">
        <references count="7">
          <reference field="0" count="1" selected="0">
            <x v="142"/>
          </reference>
          <reference field="4" count="1" selected="0">
            <x v="0"/>
          </reference>
          <reference field="6" count="1" selected="0">
            <x v="14"/>
          </reference>
          <reference field="7" count="1" selected="0">
            <x v="5"/>
          </reference>
          <reference field="10" count="1" selected="0">
            <x v="1"/>
          </reference>
          <reference field="11" count="1" selected="0">
            <x v="208"/>
          </reference>
          <reference field="14" count="1">
            <x v="0"/>
          </reference>
        </references>
      </pivotArea>
    </format>
    <format dxfId="22">
      <pivotArea dataOnly="0" labelOnly="1" outline="0" fieldPosition="0">
        <references count="7">
          <reference field="0" count="1" selected="0">
            <x v="125"/>
          </reference>
          <reference field="4" count="1" selected="0">
            <x v="0"/>
          </reference>
          <reference field="6" count="1" selected="0">
            <x v="14"/>
          </reference>
          <reference field="7" count="1" selected="0">
            <x v="5"/>
          </reference>
          <reference field="10" count="1" selected="0">
            <x v="5"/>
          </reference>
          <reference field="11" count="1" selected="0">
            <x v="182"/>
          </reference>
          <reference field="14" count="1">
            <x v="0"/>
          </reference>
        </references>
      </pivotArea>
    </format>
    <format dxfId="21">
      <pivotArea dataOnly="0" labelOnly="1" outline="0" fieldPosition="0">
        <references count="7">
          <reference field="0" count="1" selected="0">
            <x v="144"/>
          </reference>
          <reference field="4" count="1" selected="0">
            <x v="0"/>
          </reference>
          <reference field="6" count="1" selected="0">
            <x v="14"/>
          </reference>
          <reference field="7" count="1" selected="0">
            <x v="5"/>
          </reference>
          <reference field="10" count="1" selected="0">
            <x v="5"/>
          </reference>
          <reference field="11" count="1" selected="0">
            <x v="181"/>
          </reference>
          <reference field="14" count="1">
            <x v="0"/>
          </reference>
        </references>
      </pivotArea>
    </format>
    <format dxfId="20">
      <pivotArea dataOnly="0" labelOnly="1" outline="0" fieldPosition="0">
        <references count="7">
          <reference field="0" count="1" selected="0">
            <x v="202"/>
          </reference>
          <reference field="4" count="1" selected="0">
            <x v="0"/>
          </reference>
          <reference field="6" count="1" selected="0">
            <x v="15"/>
          </reference>
          <reference field="7" count="1" selected="0">
            <x v="5"/>
          </reference>
          <reference field="10" count="1" selected="0">
            <x v="2"/>
          </reference>
          <reference field="11" count="1" selected="0">
            <x v="114"/>
          </reference>
          <reference field="14" count="1">
            <x v="0"/>
          </reference>
        </references>
      </pivotArea>
    </format>
    <format dxfId="19">
      <pivotArea dataOnly="0" labelOnly="1" outline="0" fieldPosition="0">
        <references count="7">
          <reference field="0" count="1" selected="0">
            <x v="29"/>
          </reference>
          <reference field="4" count="1" selected="0">
            <x v="0"/>
          </reference>
          <reference field="6" count="1" selected="0">
            <x v="15"/>
          </reference>
          <reference field="7" count="1" selected="0">
            <x v="5"/>
          </reference>
          <reference field="10" count="1" selected="0">
            <x v="5"/>
          </reference>
          <reference field="11" count="1" selected="0">
            <x v="23"/>
          </reference>
          <reference field="14" count="1">
            <x v="0"/>
          </reference>
        </references>
      </pivotArea>
    </format>
    <format dxfId="18">
      <pivotArea dataOnly="0" labelOnly="1" outline="0" fieldPosition="0">
        <references count="7">
          <reference field="0" count="1" selected="0">
            <x v="105"/>
          </reference>
          <reference field="4" count="1" selected="0">
            <x v="0"/>
          </reference>
          <reference field="6" count="1" selected="0">
            <x v="15"/>
          </reference>
          <reference field="7" count="1" selected="0">
            <x v="5"/>
          </reference>
          <reference field="10" count="1" selected="0">
            <x v="5"/>
          </reference>
          <reference field="11" count="1" selected="0">
            <x v="71"/>
          </reference>
          <reference field="14" count="1">
            <x v="0"/>
          </reference>
        </references>
      </pivotArea>
    </format>
    <format dxfId="17">
      <pivotArea dataOnly="0" labelOnly="1" outline="0" fieldPosition="0">
        <references count="7">
          <reference field="0" count="1" selected="0">
            <x v="164"/>
          </reference>
          <reference field="4" count="1" selected="0">
            <x v="0"/>
          </reference>
          <reference field="6" count="1" selected="0">
            <x v="15"/>
          </reference>
          <reference field="7" count="1" selected="0">
            <x v="5"/>
          </reference>
          <reference field="10" count="1" selected="0">
            <x v="6"/>
          </reference>
          <reference field="11" count="1" selected="0">
            <x v="94"/>
          </reference>
          <reference field="14" count="1">
            <x v="0"/>
          </reference>
        </references>
      </pivotArea>
    </format>
    <format dxfId="16">
      <pivotArea dataOnly="0" labelOnly="1" outline="0" fieldPosition="0">
        <references count="7">
          <reference field="0" count="1" selected="0">
            <x v="109"/>
          </reference>
          <reference field="4" count="1" selected="0">
            <x v="0"/>
          </reference>
          <reference field="6" count="1" selected="0">
            <x v="15"/>
          </reference>
          <reference field="7" count="1" selected="0">
            <x v="5"/>
          </reference>
          <reference field="10" count="1" selected="0">
            <x v="9"/>
          </reference>
          <reference field="11" count="1" selected="0">
            <x v="88"/>
          </reference>
          <reference field="14" count="1">
            <x v="0"/>
          </reference>
        </references>
      </pivotArea>
    </format>
    <format dxfId="15">
      <pivotArea dataOnly="0" labelOnly="1" outline="0" fieldPosition="0">
        <references count="7">
          <reference field="0" count="1" selected="0">
            <x v="200"/>
          </reference>
          <reference field="4" count="1" selected="0">
            <x v="0"/>
          </reference>
          <reference field="6" count="1" selected="0">
            <x v="15"/>
          </reference>
          <reference field="7" count="1" selected="0">
            <x v="5"/>
          </reference>
          <reference field="10" count="1" selected="0">
            <x v="10"/>
          </reference>
          <reference field="11" count="1" selected="0">
            <x v="97"/>
          </reference>
          <reference field="14" count="1">
            <x v="0"/>
          </reference>
        </references>
      </pivotArea>
    </format>
    <format dxfId="14">
      <pivotArea dataOnly="0" labelOnly="1" outline="0" fieldPosition="0">
        <references count="7">
          <reference field="0" count="1" selected="0">
            <x v="203"/>
          </reference>
          <reference field="4" count="1" selected="0">
            <x v="0"/>
          </reference>
          <reference field="6" count="1" selected="0">
            <x v="15"/>
          </reference>
          <reference field="7" count="1" selected="0">
            <x v="5"/>
          </reference>
          <reference field="10" count="1" selected="0">
            <x v="10"/>
          </reference>
          <reference field="11" count="1" selected="0">
            <x v="156"/>
          </reference>
          <reference field="14" count="1">
            <x v="0"/>
          </reference>
        </references>
      </pivotArea>
    </format>
    <format dxfId="13">
      <pivotArea dataOnly="0" labelOnly="1" outline="0" fieldPosition="0">
        <references count="7">
          <reference field="0" count="1" selected="0">
            <x v="205"/>
          </reference>
          <reference field="4" count="1" selected="0">
            <x v="0"/>
          </reference>
          <reference field="6" count="1" selected="0">
            <x v="15"/>
          </reference>
          <reference field="7" count="1" selected="0">
            <x v="5"/>
          </reference>
          <reference field="10" count="1" selected="0">
            <x v="10"/>
          </reference>
          <reference field="11" count="1" selected="0">
            <x v="131"/>
          </reference>
          <reference field="14" count="1">
            <x v="0"/>
          </reference>
        </references>
      </pivotArea>
    </format>
    <format dxfId="12">
      <pivotArea dataOnly="0" labelOnly="1" outline="0" fieldPosition="0">
        <references count="7">
          <reference field="0" count="1" selected="0">
            <x v="0"/>
          </reference>
          <reference field="4" count="1" selected="0">
            <x v="0"/>
          </reference>
          <reference field="6" count="1" selected="0">
            <x v="15"/>
          </reference>
          <reference field="7" count="1" selected="0">
            <x v="5"/>
          </reference>
          <reference field="10" count="1" selected="0">
            <x v="11"/>
          </reference>
          <reference field="11" count="1" selected="0">
            <x v="0"/>
          </reference>
          <reference field="14" count="1">
            <x v="0"/>
          </reference>
        </references>
      </pivotArea>
    </format>
    <format dxfId="11">
      <pivotArea dataOnly="0" labelOnly="1" outline="0" fieldPosition="0">
        <references count="7">
          <reference field="0" count="1" selected="0">
            <x v="41"/>
          </reference>
          <reference field="4" count="1" selected="0">
            <x v="0"/>
          </reference>
          <reference field="6" count="1" selected="0">
            <x v="15"/>
          </reference>
          <reference field="7" count="1" selected="0">
            <x v="5"/>
          </reference>
          <reference field="10" count="1" selected="0">
            <x v="11"/>
          </reference>
          <reference field="11" count="1" selected="0">
            <x v="175"/>
          </reference>
          <reference field="14" count="1">
            <x v="0"/>
          </reference>
        </references>
      </pivotArea>
    </format>
    <format dxfId="10">
      <pivotArea dataOnly="0" labelOnly="1" outline="0" fieldPosition="0">
        <references count="7">
          <reference field="0" count="1" selected="0">
            <x v="173"/>
          </reference>
          <reference field="4" count="1" selected="0">
            <x v="0"/>
          </reference>
          <reference field="6" count="1" selected="0">
            <x v="15"/>
          </reference>
          <reference field="7" count="1" selected="0">
            <x v="5"/>
          </reference>
          <reference field="10" count="1" selected="0">
            <x v="12"/>
          </reference>
          <reference field="11" count="1" selected="0">
            <x v="22"/>
          </reference>
          <reference field="14" count="1">
            <x v="0"/>
          </reference>
        </references>
      </pivotArea>
    </format>
    <format dxfId="9">
      <pivotArea dataOnly="0" labelOnly="1" outline="0" fieldPosition="0">
        <references count="7">
          <reference field="0" count="1" selected="0">
            <x v="33"/>
          </reference>
          <reference field="4" count="1" selected="0">
            <x v="1"/>
          </reference>
          <reference field="6" count="1" selected="0">
            <x v="2"/>
          </reference>
          <reference field="7" count="1" selected="0">
            <x v="4"/>
          </reference>
          <reference field="10" count="1" selected="0">
            <x v="5"/>
          </reference>
          <reference field="11" count="1" selected="0">
            <x v="34"/>
          </reference>
          <reference field="14" count="1">
            <x v="0"/>
          </reference>
        </references>
      </pivotArea>
    </format>
    <format dxfId="8">
      <pivotArea dataOnly="0" labelOnly="1" outline="0" fieldPosition="0">
        <references count="7">
          <reference field="0" count="1" selected="0">
            <x v="188"/>
          </reference>
          <reference field="4" count="1" selected="0">
            <x v="1"/>
          </reference>
          <reference field="6" count="1" selected="0">
            <x v="6"/>
          </reference>
          <reference field="7" count="1" selected="0">
            <x v="5"/>
          </reference>
          <reference field="10" count="1" selected="0">
            <x v="11"/>
          </reference>
          <reference field="11" count="1" selected="0">
            <x v="30"/>
          </reference>
          <reference field="14" count="1">
            <x v="0"/>
          </reference>
        </references>
      </pivotArea>
    </format>
    <format dxfId="7">
      <pivotArea dataOnly="0" labelOnly="1" outline="0" fieldPosition="0">
        <references count="7">
          <reference field="0" count="1" selected="0">
            <x v="4"/>
          </reference>
          <reference field="4" count="1" selected="0">
            <x v="1"/>
          </reference>
          <reference field="6" count="1" selected="0">
            <x v="7"/>
          </reference>
          <reference field="7" count="1" selected="0">
            <x v="5"/>
          </reference>
          <reference field="10" count="1" selected="0">
            <x v="5"/>
          </reference>
          <reference field="11" count="1" selected="0">
            <x v="9"/>
          </reference>
          <reference field="14" count="1">
            <x v="0"/>
          </reference>
        </references>
      </pivotArea>
    </format>
    <format dxfId="6">
      <pivotArea dataOnly="0" labelOnly="1" outline="0" fieldPosition="0">
        <references count="7">
          <reference field="0" count="1" selected="0">
            <x v="46"/>
          </reference>
          <reference field="4" count="1" selected="0">
            <x v="1"/>
          </reference>
          <reference field="6" count="1" selected="0">
            <x v="10"/>
          </reference>
          <reference field="7" count="1" selected="0">
            <x v="5"/>
          </reference>
          <reference field="10" count="1" selected="0">
            <x v="5"/>
          </reference>
          <reference field="11" count="1" selected="0">
            <x v="53"/>
          </reference>
          <reference field="14" count="1">
            <x v="0"/>
          </reference>
        </references>
      </pivotArea>
    </format>
    <format dxfId="5">
      <pivotArea dataOnly="0" labelOnly="1" outline="0" fieldPosition="0">
        <references count="7">
          <reference field="0" count="1" selected="0">
            <x v="60"/>
          </reference>
          <reference field="4" count="1" selected="0">
            <x v="1"/>
          </reference>
          <reference field="6" count="1" selected="0">
            <x v="10"/>
          </reference>
          <reference field="7" count="1" selected="0">
            <x v="5"/>
          </reference>
          <reference field="10" count="1" selected="0">
            <x v="5"/>
          </reference>
          <reference field="11" count="1" selected="0">
            <x v="154"/>
          </reference>
          <reference field="14" count="1">
            <x v="0"/>
          </reference>
        </references>
      </pivotArea>
    </format>
    <format dxfId="4">
      <pivotArea dataOnly="0" labelOnly="1" outline="0" fieldPosition="0">
        <references count="1">
          <reference field="4294967294" count="3">
            <x v="0"/>
            <x v="1"/>
            <x v="2"/>
          </reference>
        </references>
      </pivotArea>
    </format>
  </formats>
  <pivotTableStyleInfo name="Lisa"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783D312-9FE7-9F4A-B97B-7573E4F40610}" name="PivotTable1" cacheId="67" applyNumberFormats="0" applyBorderFormats="0" applyFontFormats="0" applyPatternFormats="0" applyAlignmentFormats="0" applyWidthHeightFormats="1" dataCaption="Values" updatedVersion="6" minRefreshableVersion="3" showDrill="0" useAutoFormatting="1" itemPrintTitles="1" createdVersion="6" indent="0" compact="0" compactData="0" multipleFieldFilters="0">
  <location ref="A5:H91" firstHeaderRow="0" firstDataRow="1" firstDataCol="5" rowPageCount="1" colPageCount="1"/>
  <pivotFields count="17">
    <pivotField axis="axisRow" compact="0" outline="0" subtotalTop="0" showAll="0">
      <items count="73">
        <item x="0"/>
        <item x="27"/>
        <item x="28"/>
        <item x="29"/>
        <item x="1"/>
        <item x="30"/>
        <item x="9"/>
        <item x="10"/>
        <item x="48"/>
        <item x="2"/>
        <item x="68"/>
        <item x="59"/>
        <item x="60"/>
        <item x="32"/>
        <item x="33"/>
        <item x="16"/>
        <item x="34"/>
        <item x="11"/>
        <item x="12"/>
        <item x="20"/>
        <item x="36"/>
        <item x="26"/>
        <item x="37"/>
        <item x="49"/>
        <item x="50"/>
        <item x="53"/>
        <item x="3"/>
        <item x="55"/>
        <item x="56"/>
        <item x="5"/>
        <item x="6"/>
        <item x="13"/>
        <item x="52"/>
        <item x="14"/>
        <item x="25"/>
        <item x="61"/>
        <item x="57"/>
        <item x="58"/>
        <item x="66"/>
        <item x="21"/>
        <item x="15"/>
        <item x="7"/>
        <item x="46"/>
        <item x="62"/>
        <item x="63"/>
        <item x="65"/>
        <item x="4"/>
        <item x="8"/>
        <item x="54"/>
        <item x="22"/>
        <item x="23"/>
        <item x="24"/>
        <item x="31"/>
        <item x="38"/>
        <item x="39"/>
        <item x="40"/>
        <item x="41"/>
        <item x="42"/>
        <item x="43"/>
        <item x="44"/>
        <item x="45"/>
        <item x="47"/>
        <item x="51"/>
        <item x="64"/>
        <item x="67"/>
        <item x="19"/>
        <item x="35"/>
        <item x="17"/>
        <item x="18"/>
        <item x="69"/>
        <item x="70"/>
        <item x="71"/>
        <item t="default"/>
      </items>
    </pivotField>
    <pivotField compact="0" outline="0" subtotalTop="0" showAll="0"/>
    <pivotField compact="0" outline="0" subtotalTop="0" showAll="0"/>
    <pivotField axis="axisPage" compact="0" outline="0" subtotalTop="0" multipleItemSelectionAllowed="1" showAll="0">
      <items count="3">
        <item x="0"/>
        <item h="1" x="1"/>
        <item t="default"/>
      </items>
    </pivotField>
    <pivotField axis="axisRow" compact="0" outline="0" subtotalTop="0" showAll="0">
      <items count="3">
        <item x="0"/>
        <item x="1"/>
        <item t="default"/>
      </items>
    </pivotField>
    <pivotField compact="0" outline="0" subtotalTop="0" showAll="0"/>
    <pivotField axis="axisRow" compact="0" outline="0" subtotalTop="0" multipleItemSelectionAllowed="1" showAll="0">
      <items count="13">
        <item x="0"/>
        <item x="1"/>
        <item x="2"/>
        <item x="4"/>
        <item x="5"/>
        <item x="6"/>
        <item x="7"/>
        <item x="11"/>
        <item x="8"/>
        <item x="9"/>
        <item x="10"/>
        <item x="3"/>
        <item t="default"/>
      </items>
    </pivotField>
    <pivotField axis="axisRow" compact="0" outline="0" subtotalTop="0" showAll="0" defaultSubtotal="0">
      <items count="4">
        <item x="1"/>
        <item x="2"/>
        <item x="3"/>
        <item x="0"/>
      </items>
    </pivotField>
    <pivotField axis="axisRow" compact="0" outline="0" subtotalTop="0" showAll="0" defaultSubtotal="0">
      <items count="4">
        <item x="1"/>
        <item x="3"/>
        <item x="2"/>
        <item x="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dragToRow="0" dragToCol="0" dragToPage="0" showAll="0" defaultSubtotal="0"/>
  </pivotFields>
  <rowFields count="5">
    <field x="4"/>
    <field x="6"/>
    <field x="7"/>
    <field x="8"/>
    <field x="0"/>
  </rowFields>
  <rowItems count="86">
    <i>
      <x/>
      <x/>
      <x v="3"/>
      <x v="3"/>
      <x/>
    </i>
    <i t="default" r="1">
      <x/>
    </i>
    <i r="1">
      <x v="1"/>
      <x/>
      <x/>
      <x v="26"/>
    </i>
    <i r="3">
      <x v="3"/>
      <x v="4"/>
    </i>
    <i r="4">
      <x v="9"/>
    </i>
    <i r="4">
      <x v="46"/>
    </i>
    <i r="2">
      <x v="1"/>
      <x/>
      <x v="29"/>
    </i>
    <i r="4">
      <x v="30"/>
    </i>
    <i r="4">
      <x v="41"/>
    </i>
    <i r="2">
      <x v="2"/>
      <x/>
      <x v="47"/>
    </i>
    <i t="default" r="1">
      <x v="1"/>
    </i>
    <i r="1">
      <x v="2"/>
      <x v="1"/>
      <x/>
      <x v="17"/>
    </i>
    <i r="4">
      <x v="18"/>
    </i>
    <i r="4">
      <x v="31"/>
    </i>
    <i r="4">
      <x v="40"/>
    </i>
    <i r="3">
      <x v="3"/>
      <x v="6"/>
    </i>
    <i r="4">
      <x v="7"/>
    </i>
    <i r="4">
      <x v="33"/>
    </i>
    <i r="2">
      <x v="2"/>
      <x v="2"/>
      <x v="15"/>
    </i>
    <i t="default" r="1">
      <x v="2"/>
    </i>
    <i r="1">
      <x v="3"/>
      <x v="2"/>
      <x v="3"/>
      <x v="19"/>
    </i>
    <i r="4">
      <x v="39"/>
    </i>
    <i t="default" r="1">
      <x v="3"/>
    </i>
    <i r="1">
      <x v="4"/>
      <x v="3"/>
      <x v="3"/>
      <x v="34"/>
    </i>
    <i r="4">
      <x v="49"/>
    </i>
    <i r="4">
      <x v="50"/>
    </i>
    <i r="4">
      <x v="51"/>
    </i>
    <i t="default" r="1">
      <x v="4"/>
    </i>
    <i r="1">
      <x v="5"/>
      <x v="2"/>
      <x v="2"/>
      <x v="21"/>
    </i>
    <i r="2">
      <x v="3"/>
      <x v="3"/>
      <x v="1"/>
    </i>
    <i r="4">
      <x v="2"/>
    </i>
    <i r="4">
      <x v="3"/>
    </i>
    <i r="4">
      <x v="5"/>
    </i>
    <i r="4">
      <x v="13"/>
    </i>
    <i r="4">
      <x v="14"/>
    </i>
    <i r="4">
      <x v="16"/>
    </i>
    <i r="4">
      <x v="20"/>
    </i>
    <i r="4">
      <x v="22"/>
    </i>
    <i r="4">
      <x v="52"/>
    </i>
    <i r="4">
      <x v="66"/>
    </i>
    <i t="default" r="1">
      <x v="5"/>
    </i>
    <i r="1">
      <x v="6"/>
      <x v="3"/>
      <x v="3"/>
      <x v="42"/>
    </i>
    <i r="4">
      <x v="53"/>
    </i>
    <i r="4">
      <x v="54"/>
    </i>
    <i r="4">
      <x v="55"/>
    </i>
    <i r="4">
      <x v="56"/>
    </i>
    <i r="4">
      <x v="57"/>
    </i>
    <i r="4">
      <x v="58"/>
    </i>
    <i r="4">
      <x v="59"/>
    </i>
    <i r="4">
      <x v="60"/>
    </i>
    <i r="4">
      <x v="61"/>
    </i>
    <i t="default" r="1">
      <x v="6"/>
    </i>
    <i r="1">
      <x v="8"/>
      <x v="3"/>
      <x v="2"/>
      <x v="8"/>
    </i>
    <i r="3">
      <x v="3"/>
      <x v="23"/>
    </i>
    <i r="4">
      <x v="24"/>
    </i>
    <i r="4">
      <x v="32"/>
    </i>
    <i r="4">
      <x v="62"/>
    </i>
    <i t="default" r="1">
      <x v="8"/>
    </i>
    <i r="1">
      <x v="9"/>
      <x v="3"/>
      <x v="1"/>
      <x v="27"/>
    </i>
    <i r="3">
      <x v="3"/>
      <x v="25"/>
    </i>
    <i r="4">
      <x v="28"/>
    </i>
    <i r="4">
      <x v="36"/>
    </i>
    <i r="4">
      <x v="37"/>
    </i>
    <i r="4">
      <x v="48"/>
    </i>
    <i t="default" r="1">
      <x v="9"/>
    </i>
    <i r="1">
      <x v="10"/>
      <x v="3"/>
      <x v="3"/>
      <x v="11"/>
    </i>
    <i r="4">
      <x v="12"/>
    </i>
    <i r="4">
      <x v="35"/>
    </i>
    <i r="4">
      <x v="43"/>
    </i>
    <i r="4">
      <x v="44"/>
    </i>
    <i r="4">
      <x v="45"/>
    </i>
    <i r="4">
      <x v="63"/>
    </i>
    <i t="default" r="1">
      <x v="10"/>
    </i>
    <i r="1">
      <x v="11"/>
      <x v="3"/>
      <x v="3"/>
      <x v="65"/>
    </i>
    <i r="4">
      <x v="67"/>
    </i>
    <i r="4">
      <x v="68"/>
    </i>
    <i t="default" r="1">
      <x v="11"/>
    </i>
    <i t="default">
      <x/>
    </i>
    <i>
      <x v="1"/>
      <x v="3"/>
      <x v="3"/>
      <x v="3"/>
      <x v="38"/>
    </i>
    <i t="default" r="1">
      <x v="3"/>
    </i>
    <i r="1">
      <x v="5"/>
      <x v="3"/>
      <x v="3"/>
      <x v="64"/>
    </i>
    <i t="default" r="1">
      <x v="5"/>
    </i>
    <i r="1">
      <x v="7"/>
      <x v="3"/>
      <x v="3"/>
      <x v="10"/>
    </i>
    <i t="default" r="1">
      <x v="7"/>
    </i>
    <i t="default">
      <x v="1"/>
    </i>
    <i t="grand">
      <x/>
    </i>
  </rowItems>
  <colFields count="1">
    <field x="-2"/>
  </colFields>
  <colItems count="3">
    <i>
      <x/>
    </i>
    <i i="1">
      <x v="1"/>
    </i>
    <i i="2">
      <x v="2"/>
    </i>
  </colItems>
  <pageFields count="1">
    <pageField fld="3" hier="-1"/>
  </pageFields>
  <dataFields count="3">
    <dataField name="Sum of Total Weight (oz)" fld="15" baseField="0" baseItem="0"/>
    <dataField name="Percentage of Total Weight (oz)" fld="15" showDataAs="percentOfTotal" baseField="14" baseItem="0" numFmtId="10"/>
    <dataField name="Sum of Total Pounds" fld="16" baseField="0" baseItem="0" numFmtId="2"/>
  </dataFields>
  <formats count="4">
    <format dxfId="3">
      <pivotArea dataOnly="0" labelOnly="1" outline="0" fieldPosition="0">
        <references count="1">
          <reference field="4294967294" count="1">
            <x v="0"/>
          </reference>
        </references>
      </pivotArea>
    </format>
    <format dxfId="2">
      <pivotArea dataOnly="0" labelOnly="1" outline="0" fieldPosition="0">
        <references count="1">
          <reference field="4294967294" count="1">
            <x v="1"/>
          </reference>
        </references>
      </pivotArea>
    </format>
    <format dxfId="1">
      <pivotArea dataOnly="0" grandRow="1" outline="0" fieldPosition="0"/>
    </format>
    <format dxfId="0">
      <pivotArea outline="0" fieldPosition="0">
        <references count="1">
          <reference field="4294967294" count="1">
            <x v="2"/>
          </reference>
        </references>
      </pivotArea>
    </format>
  </formats>
  <pivotTableStyleInfo name="Joe"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13" Type="http://schemas.openxmlformats.org/officeDocument/2006/relationships/hyperlink" Target="../../../../Library/Containers/com.microsoft.Excel/Data/Library/Application%20Support/Microsoft/Under%20Armour%20Black%20T-Shirt.jpg" TargetMode="External"/><Relationship Id="rId18" Type="http://schemas.openxmlformats.org/officeDocument/2006/relationships/hyperlink" Target="http://www.rei.com/product/839660/black-diamond-alpine-carbon-cork-trekking-poles-pair" TargetMode="External"/><Relationship Id="rId26" Type="http://schemas.openxmlformats.org/officeDocument/2006/relationships/hyperlink" Target="https://www.nalgene.com/product/2179-0032/" TargetMode="External"/><Relationship Id="rId39" Type="http://schemas.openxmlformats.org/officeDocument/2006/relationships/hyperlink" Target="http://www.rei.com/product/862538/vapur-element-water-bottle-32-fl-oz" TargetMode="External"/><Relationship Id="rId21" Type="http://schemas.openxmlformats.org/officeDocument/2006/relationships/hyperlink" Target="http://www.exofficio.com/products/details/womens-give-n-go-bikini-brief" TargetMode="External"/><Relationship Id="rId34" Type="http://schemas.openxmlformats.org/officeDocument/2006/relationships/hyperlink" Target="http://findmespot.com/en/index.php?cid=100" TargetMode="External"/><Relationship Id="rId42" Type="http://schemas.openxmlformats.org/officeDocument/2006/relationships/hyperlink" Target="https://www.amazon.com/gp/product/1566956897/" TargetMode="External"/><Relationship Id="rId47" Type="http://schemas.openxmlformats.org/officeDocument/2006/relationships/hyperlink" Target="http://www.seatosummitusa.com/product/?item=Mosquito+Head+Net&amp;o1=0&amp;o2=0&amp;o3=143" TargetMode="External"/><Relationship Id="rId50" Type="http://schemas.openxmlformats.org/officeDocument/2006/relationships/hyperlink" Target="https://www.rei.com/product/101420/bison-designs-manzo-belt-womens" TargetMode="External"/><Relationship Id="rId55" Type="http://schemas.openxmlformats.org/officeDocument/2006/relationships/hyperlink" Target="https://loopalien.com/products/zing-it-lash-it" TargetMode="External"/><Relationship Id="rId63" Type="http://schemas.openxmlformats.org/officeDocument/2006/relationships/hyperlink" Target="https://www.amazon.com/gp/product/B008CSDKSQ/" TargetMode="External"/><Relationship Id="rId7" Type="http://schemas.openxmlformats.org/officeDocument/2006/relationships/hyperlink" Target="../../../../Library/Containers/com.microsoft.Excel/Data/Library/Application%20Support/Microsoft/Buff%20headwear%20-%20pink.jpg" TargetMode="External"/><Relationship Id="rId2" Type="http://schemas.openxmlformats.org/officeDocument/2006/relationships/hyperlink" Target="../../../../Library/Containers/com.microsoft.Excel/Data/Library/Application%20Support/Microsoft/Socks%20gray-teal%20synthetic%20liner%20and%20Darn%20Tough%20wool%20outer.jpg" TargetMode="External"/><Relationship Id="rId16" Type="http://schemas.openxmlformats.org/officeDocument/2006/relationships/hyperlink" Target="http://www.rei.com/product/768902/bearvault-bv500-food-container" TargetMode="External"/><Relationship Id="rId29" Type="http://schemas.openxmlformats.org/officeDocument/2006/relationships/hyperlink" Target="http://hennessyhammock.com/catalog/products/hex_rainfly_30d_sylnylon/" TargetMode="External"/><Relationship Id="rId11" Type="http://schemas.openxmlformats.org/officeDocument/2006/relationships/hyperlink" Target="../../../../Library/Containers/com.microsoft.Excel/Data/Library/Application%20Support/Microsoft/Black%20tank.jpg" TargetMode="External"/><Relationship Id="rId24" Type="http://schemas.openxmlformats.org/officeDocument/2006/relationships/hyperlink" Target="http://www.suntactics.com/product/usb-solar-charger-5/" TargetMode="External"/><Relationship Id="rId32" Type="http://schemas.openxmlformats.org/officeDocument/2006/relationships/hyperlink" Target="http://www.loopalien.com/shop/1-75mm-dyneema-cord/" TargetMode="External"/><Relationship Id="rId37" Type="http://schemas.openxmlformats.org/officeDocument/2006/relationships/hyperlink" Target="http://www.rei.com/product/829881/therm-a-rest-z-seat-pad" TargetMode="External"/><Relationship Id="rId40" Type="http://schemas.openxmlformats.org/officeDocument/2006/relationships/hyperlink" Target="http://www.suunto.com/en-US/Products/Compasses/Suunto-MC-2-Global1/Suunto-MC-2-G-USGS-Mirror-Compass/" TargetMode="External"/><Relationship Id="rId45" Type="http://schemas.openxmlformats.org/officeDocument/2006/relationships/hyperlink" Target="https://marmot.com/women-jackets-and-vests-waterproof-shells/wms-precip-jacket/46200.html" TargetMode="External"/><Relationship Id="rId53" Type="http://schemas.openxmlformats.org/officeDocument/2006/relationships/hyperlink" Target="https://www.amazon.com/gp/product/1583557121/" TargetMode="External"/><Relationship Id="rId58" Type="http://schemas.openxmlformats.org/officeDocument/2006/relationships/hyperlink" Target="https://www.shethinx.com/products/hiphugger-panties" TargetMode="External"/><Relationship Id="rId5" Type="http://schemas.openxmlformats.org/officeDocument/2006/relationships/hyperlink" Target="../../../../Library/Containers/com.microsoft.Excel/Data/Library/Application%20Support/Microsoft/Kyodan%20Polyester-Spandex%20Leggings.jpg" TargetMode="External"/><Relationship Id="rId61" Type="http://schemas.openxmlformats.org/officeDocument/2006/relationships/hyperlink" Target="https://www.thenorthface.com/shop/womens-accessories-caps/horizon-breeze-brimmer-hat-cf7t" TargetMode="External"/><Relationship Id="rId19" Type="http://schemas.openxmlformats.org/officeDocument/2006/relationships/hyperlink" Target="http://www.mountainhardwear.com/womens-ghost-whisperer-down-jacket-1560911.html?dwvar_1560911_variationColor=897&amp;cgid=ghostWhisp" TargetMode="External"/><Relationship Id="rId14" Type="http://schemas.openxmlformats.org/officeDocument/2006/relationships/hyperlink" Target="http://www.westernmountaineering.com/index.cfm?section=products&amp;page=sleeping%20bags&amp;cat=ExtremeLite%20Series&amp;ContentId=20" TargetMode="External"/><Relationship Id="rId22" Type="http://schemas.openxmlformats.org/officeDocument/2006/relationships/hyperlink" Target="http://www.exofficio.com/products/details/womens-give-n-go-bikini-brief" TargetMode="External"/><Relationship Id="rId27" Type="http://schemas.openxmlformats.org/officeDocument/2006/relationships/hyperlink" Target="http://www.rei.com/product/820769/platypus-platy-bottle-70-fl-oz" TargetMode="External"/><Relationship Id="rId30" Type="http://schemas.openxmlformats.org/officeDocument/2006/relationships/hyperlink" Target="http://hennessyhammock.com/catalog/products/radiant_double_bubble_pad-xl/" TargetMode="External"/><Relationship Id="rId35" Type="http://schemas.openxmlformats.org/officeDocument/2006/relationships/hyperlink" Target="http://www.rei.com/product/836298/rei-mini-multitowel" TargetMode="External"/><Relationship Id="rId43" Type="http://schemas.openxmlformats.org/officeDocument/2006/relationships/hyperlink" Target="https://www.amazon.com/John-Muir-Trail-Data-Book/dp/0899977707/" TargetMode="External"/><Relationship Id="rId48" Type="http://schemas.openxmlformats.org/officeDocument/2006/relationships/hyperlink" Target="https://www.anker.com/products/A1263011" TargetMode="External"/><Relationship Id="rId56" Type="http://schemas.openxmlformats.org/officeDocument/2006/relationships/hyperlink" Target="https://www.anker.com/products/variant/powerport-ii-2-ports/A2027111" TargetMode="External"/><Relationship Id="rId8" Type="http://schemas.openxmlformats.org/officeDocument/2006/relationships/hyperlink" Target="../../../../Library/Containers/com.microsoft.Excel/Data/Library/Application%20Support/Microsoft/Brooks%20Running%20Gloves-Mittens.jpg" TargetMode="External"/><Relationship Id="rId51" Type="http://schemas.openxmlformats.org/officeDocument/2006/relationships/hyperlink" Target="https://seatosummitusa.com/collections/frontpage/products/ultra-sil-compression-dry-sack?variant=7896110202908" TargetMode="External"/><Relationship Id="rId3" Type="http://schemas.openxmlformats.org/officeDocument/2006/relationships/hyperlink" Target="../../../../Library/Containers/com.microsoft.Excel/Data/Library/Application%20Support/Microsoft/Under%20Armour%20Polyester%20Jacket%20-%20gray-pink.jpg" TargetMode="External"/><Relationship Id="rId12" Type="http://schemas.openxmlformats.org/officeDocument/2006/relationships/hyperlink" Target="http://www.proforceequipment.com/product-details.php?id=119&amp;catid=5" TargetMode="External"/><Relationship Id="rId17" Type="http://schemas.openxmlformats.org/officeDocument/2006/relationships/hyperlink" Target="http://www.rei.com/product/830737/asolo-fission-gv-hiking-boots-womens" TargetMode="External"/><Relationship Id="rId25" Type="http://schemas.openxmlformats.org/officeDocument/2006/relationships/hyperlink" Target="http://blackdiamondequipment.com/en/headlamps-and-lanterns/storm-BD620611VBORALL1.html" TargetMode="External"/><Relationship Id="rId33" Type="http://schemas.openxmlformats.org/officeDocument/2006/relationships/hyperlink" Target="http://www.jacksrbetter.com/shop/jeffs-gear-hammockpack-cover/" TargetMode="External"/><Relationship Id="rId38" Type="http://schemas.openxmlformats.org/officeDocument/2006/relationships/hyperlink" Target="http://www.vargooutdoors.com/titanium-spork.html" TargetMode="External"/><Relationship Id="rId46" Type="http://schemas.openxmlformats.org/officeDocument/2006/relationships/hyperlink" Target="http://www.cabelas.com/product/Cabelas-Guidewear-Mens-Finger-Gloves-with-Coolcore-reg/2220779.uts" TargetMode="External"/><Relationship Id="rId59" Type="http://schemas.openxmlformats.org/officeDocument/2006/relationships/hyperlink" Target="https://www.rei.com/product/108939/rei-co-op-sahara-convertible-pants-womens" TargetMode="External"/><Relationship Id="rId20" Type="http://schemas.openxmlformats.org/officeDocument/2006/relationships/hyperlink" Target="http://www.vivobarefoot.com/us/clearance/ultra-pure-ladies?colour=White" TargetMode="External"/><Relationship Id="rId41" Type="http://schemas.openxmlformats.org/officeDocument/2006/relationships/hyperlink" Target="https://www.amazon.com/gp/product/B00HM57KO0/ref=oh_aui_detailpage_o03_s00?ie=UTF8&amp;psc=1" TargetMode="External"/><Relationship Id="rId54" Type="http://schemas.openxmlformats.org/officeDocument/2006/relationships/hyperlink" Target="https://www.amazon.com/John-Muir-Trail-Data-Book/dp/0899977707/" TargetMode="External"/><Relationship Id="rId62" Type="http://schemas.openxmlformats.org/officeDocument/2006/relationships/hyperlink" Target="https://www.wild-ideas.net/the-blazer/" TargetMode="External"/><Relationship Id="rId1" Type="http://schemas.openxmlformats.org/officeDocument/2006/relationships/hyperlink" Target="../../../../Library/Containers/com.microsoft.Excel/Data/Library/Application%20Support/Microsoft/pnk%20shorts.jpg" TargetMode="External"/><Relationship Id="rId6" Type="http://schemas.openxmlformats.org/officeDocument/2006/relationships/hyperlink" Target="../../../../Library/Containers/com.microsoft.Excel/Data/Library/Application%20Support/Microsoft/Buff%20headwear%20-%20green.jpg" TargetMode="External"/><Relationship Id="rId15" Type="http://schemas.openxmlformats.org/officeDocument/2006/relationships/hyperlink" Target="http://www.rei.com/product/768123/platypus-plusbottle-1-liter-water-bottle-with-pushpull-cap" TargetMode="External"/><Relationship Id="rId23" Type="http://schemas.openxmlformats.org/officeDocument/2006/relationships/hyperlink" Target="http://www.ianker.com/product/79AN7902-BA" TargetMode="External"/><Relationship Id="rId28" Type="http://schemas.openxmlformats.org/officeDocument/2006/relationships/hyperlink" Target="http://hennessyhammock.com/catalog/specs/explorer_ultralite_zip/" TargetMode="External"/><Relationship Id="rId36" Type="http://schemas.openxmlformats.org/officeDocument/2006/relationships/hyperlink" Target="http://www.amazon.com/Wysi-Wipe-Multi-Purpose-Wipes-Pack/dp/B001NWVBPC/" TargetMode="External"/><Relationship Id="rId49" Type="http://schemas.openxmlformats.org/officeDocument/2006/relationships/hyperlink" Target="http://www.salomon.com/us/product/quest-prime-gtx.html" TargetMode="External"/><Relationship Id="rId57" Type="http://schemas.openxmlformats.org/officeDocument/2006/relationships/hyperlink" Target="https://www.shethinx.com/products/hiphugger-panties" TargetMode="External"/><Relationship Id="rId10" Type="http://schemas.openxmlformats.org/officeDocument/2006/relationships/hyperlink" Target="../../../../Library/Containers/com.microsoft.Excel/Data/Library/Application%20Support/Microsoft/black%20sports%20bra.jpg" TargetMode="External"/><Relationship Id="rId31" Type="http://schemas.openxmlformats.org/officeDocument/2006/relationships/hyperlink" Target="http://thetentlab.com/Deuce/DeuceofSpadespage.html" TargetMode="External"/><Relationship Id="rId44" Type="http://schemas.openxmlformats.org/officeDocument/2006/relationships/hyperlink" Target="http://www.ursack.com/product/ursack-s29-allwhite/" TargetMode="External"/><Relationship Id="rId52" Type="http://schemas.openxmlformats.org/officeDocument/2006/relationships/hyperlink" Target="https://www.amazon.com/gp/product/B00HM57KO0/ref=oh_aui_detailpage_o03_s00?ie=UTF8&amp;psc=1" TargetMode="External"/><Relationship Id="rId60" Type="http://schemas.openxmlformats.org/officeDocument/2006/relationships/hyperlink" Target="https://www.rei.com/product/880723/outdoor-research-helium-ii-rain-jacket-womens" TargetMode="External"/><Relationship Id="rId4" Type="http://schemas.openxmlformats.org/officeDocument/2006/relationships/hyperlink" Target="../../../../Library/Containers/com.microsoft.Excel/Data/Library/Application%20Support/Microsoft/Outdoor%20Research%20Pink%20Hiking%20Shirt.jpg" TargetMode="External"/><Relationship Id="rId9" Type="http://schemas.openxmlformats.org/officeDocument/2006/relationships/hyperlink" Target="http://www.rei.com/product/870545/columbia-optic-got-it-ii-half-zip-fleece-top-womens" TargetMode="Externa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6.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hyperlink" Target="https://www.rei.com/product/111534/kuhl-renegade-convertible-pants-mens" TargetMode="External"/><Relationship Id="rId7" Type="http://schemas.openxmlformats.org/officeDocument/2006/relationships/vmlDrawing" Target="../drawings/vmlDrawing10.vml"/><Relationship Id="rId2" Type="http://schemas.openxmlformats.org/officeDocument/2006/relationships/hyperlink" Target="http://www.amazon.com/Wysi-Wipe-Multi-Purpose-Wipes-Pack/dp/B001NWVBPC/" TargetMode="External"/><Relationship Id="rId1" Type="http://schemas.openxmlformats.org/officeDocument/2006/relationships/hyperlink" Target="http://www.rei.com/product/836298/rei-mini-multitowel" TargetMode="External"/><Relationship Id="rId6" Type="http://schemas.openxmlformats.org/officeDocument/2006/relationships/hyperlink" Target="http://www.jacksrbetter.com/shop/jeffs-gear-hammockpack-cover/" TargetMode="External"/><Relationship Id="rId5" Type="http://schemas.openxmlformats.org/officeDocument/2006/relationships/hyperlink" Target="https://www.rei.com/product/787278/sea-to-summit-x-mug" TargetMode="External"/><Relationship Id="rId4" Type="http://schemas.openxmlformats.org/officeDocument/2006/relationships/hyperlink" Target="http://thetentlab.com/Deuce/DeuceofSpadespage.html" TargetMode="Externa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tools.usps.com/go/TrackConfirmAction?tLabels=9505516326028194116288" TargetMode="External"/><Relationship Id="rId13" Type="http://schemas.openxmlformats.org/officeDocument/2006/relationships/comments" Target="../comments3.xml"/><Relationship Id="rId3" Type="http://schemas.openxmlformats.org/officeDocument/2006/relationships/hyperlink" Target="http://www.redsmeadow.com/resort/backpackers/" TargetMode="External"/><Relationship Id="rId7" Type="http://schemas.openxmlformats.org/officeDocument/2006/relationships/hyperlink" Target="https://tools.usps.com/go/TrackConfirmAction?tLabels=9505516326028186115497" TargetMode="External"/><Relationship Id="rId12" Type="http://schemas.openxmlformats.org/officeDocument/2006/relationships/vmlDrawing" Target="../drawings/vmlDrawing3.vml"/><Relationship Id="rId2" Type="http://schemas.openxmlformats.org/officeDocument/2006/relationships/hyperlink" Target="mailto:info@edisonlake.com" TargetMode="External"/><Relationship Id="rId1" Type="http://schemas.openxmlformats.org/officeDocument/2006/relationships/hyperlink" Target="http://www.edisonlake.com/hikers/resupply" TargetMode="External"/><Relationship Id="rId6" Type="http://schemas.openxmlformats.org/officeDocument/2006/relationships/hyperlink" Target="mailto:howdy@muirtrailranch.com" TargetMode="External"/><Relationship Id="rId11" Type="http://schemas.openxmlformats.org/officeDocument/2006/relationships/hyperlink" Target="https://wwwapps.ups.com/WebTracking/track?loc=en_US&amp;track.x=Track&amp;trackNums=%20%20%20%201Z37X3F20318149742" TargetMode="External"/><Relationship Id="rId5" Type="http://schemas.openxmlformats.org/officeDocument/2006/relationships/hyperlink" Target="http://www.muirtrailranch.com/resupply.html" TargetMode="External"/><Relationship Id="rId10" Type="http://schemas.openxmlformats.org/officeDocument/2006/relationships/hyperlink" Target="https://wwwapps.ups.com/WebTracking/track?loc=en_US&amp;track.x=Track&amp;trackNums=%20%20%20%201Z37X3F20318150454" TargetMode="External"/><Relationship Id="rId4" Type="http://schemas.openxmlformats.org/officeDocument/2006/relationships/hyperlink" Target="mailto:info@redsmeadow.com" TargetMode="External"/><Relationship Id="rId9" Type="http://schemas.openxmlformats.org/officeDocument/2006/relationships/hyperlink" Target="https://tools.usps.com/go/TrackConfirmAction?tLabels=9505516326028194116295"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3" Type="http://schemas.openxmlformats.org/officeDocument/2006/relationships/hyperlink" Target="http://www.backpackerspantry.com/spicy-thai-peanut-sauce.html" TargetMode="External"/><Relationship Id="rId18" Type="http://schemas.openxmlformats.org/officeDocument/2006/relationships/hyperlink" Target="http://www.thrivelife.com/coconut-bites-snackies-pouch-3636.html" TargetMode="External"/><Relationship Id="rId26" Type="http://schemas.openxmlformats.org/officeDocument/2006/relationships/hyperlink" Target="https://www.amazon.com/KRAVE-Jerky-Beef-Chili-Ounce/dp/B06XPPKXF9/ref=sr_1_3_s_it?s=grocery&amp;rps=1&amp;ie=UTF8&amp;qid=1493244952&amp;sr=1-3&amp;keywords=krave+chili+lime+beef+jerky&amp;refinements=p_85%3A2470955011" TargetMode="External"/><Relationship Id="rId39" Type="http://schemas.openxmlformats.org/officeDocument/2006/relationships/hyperlink" Target="https://www.amazon.com/Backpackers-Pantry-Serving-Pouch-Packaging/dp/B001GUT4S2/ref=sr_1_1?ie=UTF8&amp;qid=1526160618&amp;sr=8-1&amp;keywords=backpacker%27s+pantry+pad+thai&amp;dpID=51mHskSvK9L&amp;preST=_SY300_QL70_&amp;dpSrc=srch" TargetMode="External"/><Relationship Id="rId21" Type="http://schemas.openxmlformats.org/officeDocument/2006/relationships/hyperlink" Target="https://www.amazon.com/Haribo-Gold-Bears-Gummi-Candy-5-Pound/dp/B000EVOSE4?th=1" TargetMode="External"/><Relationship Id="rId34" Type="http://schemas.openxmlformats.org/officeDocument/2006/relationships/hyperlink" Target="https://www.amazon.com/Mountain-House-Biscuits-Gravy-Pouch/dp/B01NA960WL/ref=sr_1_2?ie=UTF8&amp;qid=1526147182&amp;sr=8-2&amp;keywords=mountain%2Bhouse%2Bbiscuits%2Band%2Bgravy&amp;dpID=51XvJ2JnPAL&amp;preST=_SY300_QL70_&amp;dpSrc=srch&amp;th=1" TargetMode="External"/><Relationship Id="rId42" Type="http://schemas.openxmlformats.org/officeDocument/2006/relationships/hyperlink" Target="https://www.alpineaire.com/us/us/25323-30127-Spicy+Cheddar+Bean+Dip" TargetMode="External"/><Relationship Id="rId47" Type="http://schemas.openxmlformats.org/officeDocument/2006/relationships/hyperlink" Target="http://www.backpackerspantry.com/garlic-herb-mashed-potatoes.html" TargetMode="External"/><Relationship Id="rId50" Type="http://schemas.openxmlformats.org/officeDocument/2006/relationships/hyperlink" Target="https://www.amazon.com/Mountain-House-Breakfast-Skillet-6-Pack/dp/B01MQNOI9S/ref=sr_1_2?s=sporting-goods&amp;ie=UTF8&amp;qid=1526768764&amp;sr=1-2&amp;keywords=mountain%2Bhouse%2Bbreakfast%2Bskillet&amp;dpID=51zWqEGBSWL&amp;preST=_SX300_QL70_&amp;dpSrc=srch&amp;th=1&amp;psc=1" TargetMode="External"/><Relationship Id="rId7" Type="http://schemas.openxmlformats.org/officeDocument/2006/relationships/hyperlink" Target="http://www.backpackerspantry.com/granola-with-milk-bananas.html" TargetMode="External"/><Relationship Id="rId2" Type="http://schemas.openxmlformats.org/officeDocument/2006/relationships/hyperlink" Target="https://www.amazon.com/Mountain-House-Granola-Blueberries-Premium/dp/B000M8070I/ref=sr_1_1?ie=UTF8&amp;qid=1493141559&amp;sr=8-1-spons&amp;keywords=mountain%2Bhouse%2Bgranola%2Bwith%2Bmilk%2Band%2Bblueberries&amp;th=1" TargetMode="External"/><Relationship Id="rId16" Type="http://schemas.openxmlformats.org/officeDocument/2006/relationships/hyperlink" Target="http://www.thrivelife.com/bananas-snackies-pouch-3634.html" TargetMode="External"/><Relationship Id="rId29" Type="http://schemas.openxmlformats.org/officeDocument/2006/relationships/hyperlink" Target="https://www.amazon.com/gp/product/B000M806WW/ref=ask_ql_qh_dp_hza?th=1" TargetMode="External"/><Relationship Id="rId11" Type="http://schemas.openxmlformats.org/officeDocument/2006/relationships/hyperlink" Target="http://www.backpackerspantry.com/cuban-coconut-black-beans-rice.html" TargetMode="External"/><Relationship Id="rId24" Type="http://schemas.openxmlformats.org/officeDocument/2006/relationships/hyperlink" Target="https://www.amazon.com/Starbucks-Ready-Place-Roast-Coffee/dp/B00GGRCYU0/ref=sr_1_8_s_it?s=grocery&amp;rps=1&amp;ie=UTF8&amp;qid=1493242128&amp;sr=1-8&amp;keywords=starbucks+via&amp;refinements=p_85%3A2470955011" TargetMode="External"/><Relationship Id="rId32" Type="http://schemas.openxmlformats.org/officeDocument/2006/relationships/hyperlink" Target="https://www.amazon.com/Milk-Chocolate-Candy-Party-42-Ounce/dp/B0029JIIK4/ref=sr_1_4_a_it?ie=UTF8&amp;qid=1493759425&amp;sr=8-4&amp;keywords=m%26ms&amp;th=1" TargetMode="External"/><Relationship Id="rId37" Type="http://schemas.openxmlformats.org/officeDocument/2006/relationships/hyperlink" Target="https://www.amazon.com/CLIF-BUILDERS-Protein-Crunchy-Non-GMO/dp/B0089PYRWK/ref=pd_sim_121_5?_encoding=UTF8&amp;pd_rd_i=B0089PYRWK&amp;pd_rd_r=MRZXZES8H11H4WSZ4W60&amp;pd_rd_w=z79t5&amp;pd_rd_wg=RA0uE&amp;refRID=MRZXZES8H11H4WSZ4W60&amp;th=1" TargetMode="External"/><Relationship Id="rId40" Type="http://schemas.openxmlformats.org/officeDocument/2006/relationships/hyperlink" Target="https://www.amazon.com/Bobs-Red-Mill-Protein-Nutritional/dp/B019HUQXG8/ref=sr_1_2_a_it?ie=UTF8&amp;qid=1526162705&amp;sr=8-2&amp;keywords=protein%2Band%2Bfiber%2Bnutritional%2Bbooster&amp;dpID=51JZkO0N7xL&amp;preST=_SY300_QL70_&amp;dpSrc=srch&amp;th=1" TargetMode="External"/><Relationship Id="rId45" Type="http://schemas.openxmlformats.org/officeDocument/2006/relationships/hyperlink" Target="https://www.alpineaire.com/us/us/444-60309-chicken-gumbo" TargetMode="External"/><Relationship Id="rId53" Type="http://schemas.openxmlformats.org/officeDocument/2006/relationships/vmlDrawing" Target="../drawings/vmlDrawing4.vml"/><Relationship Id="rId5" Type="http://schemas.openxmlformats.org/officeDocument/2006/relationships/hyperlink" Target="https://www.amazon.com/Mountain-House-53536-Apple-Crisp/dp/B01MSP32PW/ref=sr_1_1?ie=UTF8&amp;qid=1493145495&amp;sr=8-1&amp;keywords=mountain%2Bhouse%2Bapple%2Bcrisp&amp;th=1" TargetMode="External"/><Relationship Id="rId10" Type="http://schemas.openxmlformats.org/officeDocument/2006/relationships/hyperlink" Target="https://www.amazon.com/Backpackers-Pantry-Mashed-Potatoes-Gravy/dp/B005CP0FOE/ref=sr_1_9?ie=UTF8&amp;qid=1493153483&amp;sr=8-9&amp;keywords=backpackers+pantry+potatoes+beef" TargetMode="External"/><Relationship Id="rId19" Type="http://schemas.openxmlformats.org/officeDocument/2006/relationships/hyperlink" Target="https://www.alpineaire.com/us/us/25324-30131-Spicy+Southwest+Hummus" TargetMode="External"/><Relationship Id="rId31" Type="http://schemas.openxmlformats.org/officeDocument/2006/relationships/hyperlink" Target="https://www.amazon.com/Epic-Natural-Grass-Bison-Cranberry/dp/B00JQ47DO2/ref=sr_1_1_s_it?s=grocery&amp;ie=UTF8&amp;qid=1493078936&amp;sr=1-1&amp;keywords=epic%2Bbar&amp;th=1" TargetMode="External"/><Relationship Id="rId44" Type="http://schemas.openxmlformats.org/officeDocument/2006/relationships/hyperlink" Target="https://www.alpineaire.com/us/us/25272-30105-Toffee+Break" TargetMode="External"/><Relationship Id="rId52" Type="http://schemas.openxmlformats.org/officeDocument/2006/relationships/hyperlink" Target="https://smile.amazon.com/Swiss-Miss-Marshmallow-Lovers-7-44oz/dp/B00E9N9RGM/ref=sr_1_4_s_it?s=grocery&amp;ie=UTF8&amp;qid=1529532053&amp;sr=1-4&amp;keywords=hot+cocoa+marshmallow+lovers&amp;dpID=51okqNF85rL&amp;preST=_SY300_QL70_&amp;dpSrc=srch" TargetMode="External"/><Relationship Id="rId4" Type="http://schemas.openxmlformats.org/officeDocument/2006/relationships/hyperlink" Target="https://www.amazon.com/gp/product/B01MTVCFBP/ref=ox_sc_act_title_18?ie=UTF8&amp;smid=ATVPDKIKX0DER&amp;th=1" TargetMode="External"/><Relationship Id="rId9" Type="http://schemas.openxmlformats.org/officeDocument/2006/relationships/hyperlink" Target="https://www.amazon.com/Backpackers-Pantry-Jamaican-Chicken-Serving/dp/B005CP0GUM/ref=sr_1_1?ie=UTF8&amp;qid=1493148605&amp;sr=8-1&amp;keywords=backpackers%2Bpantry%2Bjamaican%2Bjerk&amp;th=1" TargetMode="External"/><Relationship Id="rId14" Type="http://schemas.openxmlformats.org/officeDocument/2006/relationships/hyperlink" Target="http://www.backpackerspantry.com/creme-brulee.html" TargetMode="External"/><Relationship Id="rId22" Type="http://schemas.openxmlformats.org/officeDocument/2006/relationships/hyperlink" Target="https://www.amazon.com/Planters-Salted-Peanuts-Pound-Container/dp/B002957S2W/ref=sr_1_2_a_it?ie=UTF8&amp;qid=1493240590&amp;sr=8-2&amp;keywords=planters+salted+peanuts" TargetMode="External"/><Relationship Id="rId27" Type="http://schemas.openxmlformats.org/officeDocument/2006/relationships/hyperlink" Target="https://www.amazon.com/KRAVE-Jerky-Sweet-Chipotle-Ounce/dp/B06XPWBZWS/ref=sr_1_4_s_it?s=grocery&amp;rps=1&amp;ie=UTF8&amp;qid=1493245254&amp;sr=1-4&amp;keywords=krave+sweet+chipotle+beef+jerky&amp;refinements=p_85%3A2470955011" TargetMode="External"/><Relationship Id="rId30" Type="http://schemas.openxmlformats.org/officeDocument/2006/relationships/hyperlink" Target="https://www.amazon.com/Epic-Natural-Grass-Bison-Cranberry/dp/B00ET7LPK4/ref=sr_1_1_s_it?s=grocery&amp;ie=UTF8&amp;qid=1493078936&amp;sr=1-1&amp;keywords=epic%2Bbar&amp;th=1" TargetMode="External"/><Relationship Id="rId35" Type="http://schemas.openxmlformats.org/officeDocument/2006/relationships/hyperlink" Target="https://www.amazon.com/dp/B01N1N1JWO/ref=twister_B01N1XGWTU?_encoding=UTF8&amp;psc=1" TargetMode="External"/><Relationship Id="rId43" Type="http://schemas.openxmlformats.org/officeDocument/2006/relationships/hyperlink" Target="https://www.amazon.com/Nut-Harvest-Chocolate-Mix-Jar/dp/B071KF6791/ref=sr_1_2_sspa?s=grocery&amp;rps=1&amp;ie=UTF8&amp;qid=1526166928&amp;sr=1-2-spons&amp;keywords=trail%2Bmix&amp;refinements=p_85%3A2470955011&amp;th=1" TargetMode="External"/><Relationship Id="rId48" Type="http://schemas.openxmlformats.org/officeDocument/2006/relationships/hyperlink" Target="https://www.amazon.com/Cheetos-Crunchy-Cheese-Flavored-Snacks/dp/B000R7TE9Y/ref=sr_1_3?s=grocery&amp;ie=UTF8&amp;qid=1493160575&amp;sr=1-3-spons&amp;keywords=cheetos&amp;th=1" TargetMode="External"/><Relationship Id="rId8" Type="http://schemas.openxmlformats.org/officeDocument/2006/relationships/hyperlink" Target="http://www.backpackerspantry.com/indian-rice-pudding-2-servings.html" TargetMode="External"/><Relationship Id="rId51" Type="http://schemas.openxmlformats.org/officeDocument/2006/relationships/hyperlink" Target="https://www.amazon.com/Mountain-House-Chicken-Potatoes-Premium/dp/B000SJNI6G/ref=sr_1_1?ie=UTF8&amp;qid=1493144583&amp;sr=8-1-spons&amp;keywords=mountain%2Bhouse%2Bchicken%2Bbreast&amp;th=1" TargetMode="External"/><Relationship Id="rId3" Type="http://schemas.openxmlformats.org/officeDocument/2006/relationships/hyperlink" Target="https://www.amazon.com/Mountain-House-Scrambled-Eggs-Bacon/dp/B000M7Z2OK/ref=sr_1_1?ie=UTF8&amp;qid=1493144312&amp;sr=8-1-spons&amp;keywords=mountain+house+scrambled+eggs+with+bacon&amp;psc=1" TargetMode="External"/><Relationship Id="rId12" Type="http://schemas.openxmlformats.org/officeDocument/2006/relationships/hyperlink" Target="http://www.backpackerspantry.com/three-cheese-mac-cheese-2-servings.html" TargetMode="External"/><Relationship Id="rId17" Type="http://schemas.openxmlformats.org/officeDocument/2006/relationships/hyperlink" Target="https://www.amazon.com/CLIF-BUILDERS-Protein-Chocolate-Ounce/dp/B000GPRZSO/ref=sr_1_1?s=grocery&amp;ie=UTF8&amp;qid=1493162226&amp;sr=1-1-spons&amp;keywords=clif%2Bbar%2Bchocolate%2Bmint&amp;th=1" TargetMode="External"/><Relationship Id="rId25" Type="http://schemas.openxmlformats.org/officeDocument/2006/relationships/hyperlink" Target="https://www.amazon.com/StarKist-Tuna-Creations-Variety-Ounce/dp/B00RJEU3L6/ref=sr_1_1_s_it?s=grocery&amp;rps=1&amp;ie=UTF8&amp;qid=1493243551&amp;sr=1-1&amp;keywords=tuna%2Bpouch&amp;refinements=p_85%3A2470955011&amp;th=1" TargetMode="External"/><Relationship Id="rId33" Type="http://schemas.openxmlformats.org/officeDocument/2006/relationships/hyperlink" Target="https://www.mountainhouse.com/M/product/apple-crisp.html?variant_id=32" TargetMode="External"/><Relationship Id="rId38" Type="http://schemas.openxmlformats.org/officeDocument/2006/relationships/hyperlink" Target="https://www.amazon.com/Mountain-House-Macaroni-and-Cheese/dp/B000M7Z2NQ/ref=sr_1_1?ie=UTF8&amp;qid=1493064567&amp;sr=8-1&amp;keywords=mountain%2Bhouse%2Bmacaroni%2Band%2Bcheese&amp;th=1" TargetMode="External"/><Relationship Id="rId46" Type="http://schemas.openxmlformats.org/officeDocument/2006/relationships/hyperlink" Target="http://www.backpackerspantry.com/products/chocolate-s-mores.html" TargetMode="External"/><Relationship Id="rId20" Type="http://schemas.openxmlformats.org/officeDocument/2006/relationships/hyperlink" Target="https://www.alpineaire.com/us/us/25321-30125-Classic+Guacamole" TargetMode="External"/><Relationship Id="rId41" Type="http://schemas.openxmlformats.org/officeDocument/2006/relationships/hyperlink" Target="http://www.backpackerspantry.com/10-can-beans-and-rice.html" TargetMode="External"/><Relationship Id="rId54" Type="http://schemas.openxmlformats.org/officeDocument/2006/relationships/comments" Target="../comments4.xml"/><Relationship Id="rId1" Type="http://schemas.openxmlformats.org/officeDocument/2006/relationships/hyperlink" Target="https://www.amazon.com/Mountain-House-Scrambled-Eggs-Peppers/dp/B000M7Z2OA/ref=sr_1_1?ie=UTF8&amp;qid=1493085795&amp;sr=8-1&amp;keywords=mountain%2Bhouse%2Bscrambled%2Beggs%2Bwith%2Bham%2B%26%2Bpeppers&amp;th=1" TargetMode="External"/><Relationship Id="rId6" Type="http://schemas.openxmlformats.org/officeDocument/2006/relationships/hyperlink" Target="https://www.amazon.com/Mountain-House-Ice-Cream-Sandwich/dp/B01IWSG2VC/ref=sr_1_1?ie=UTF8&amp;qid=1493147178&amp;sr=8-1&amp;keywords=mountain%2Bhouse%2Bice%2Bcream%2Bsandwich&amp;th=1" TargetMode="External"/><Relationship Id="rId15" Type="http://schemas.openxmlformats.org/officeDocument/2006/relationships/hyperlink" Target="http://www.thrivelife.com/cheddar-bites-snackies-pouch.html" TargetMode="External"/><Relationship Id="rId23" Type="http://schemas.openxmlformats.org/officeDocument/2006/relationships/hyperlink" Target="https://www.amazon.com/Hoosier-Hill-Farm-American-Powder/dp/B0099XI58S/ref=sr_1_2_a_it?srs=5583893011&amp;ie=UTF8&amp;qid=1493241570&amp;sr=8-2&amp;keywords=milk" TargetMode="External"/><Relationship Id="rId28" Type="http://schemas.openxmlformats.org/officeDocument/2006/relationships/hyperlink" Target="https://www.amazon.com/KRAVE-Jerky-Black-Cherry-Barbeque/dp/B06XPY4YJX/ref=sr_1_1_a_it?rps=1&amp;ie=UTF8&amp;qid=1493246079&amp;sr=8-1&amp;keywords=krave+black+cherry+barbeque+pork+jerky&amp;refinements=p_85%3A2470955011" TargetMode="External"/><Relationship Id="rId36" Type="http://schemas.openxmlformats.org/officeDocument/2006/relationships/hyperlink" Target="https://www.amazon.com/dp/B000M7SY0Y/ref=twister_B00QKP2T7G?_encoding=UTF8&amp;th=1" TargetMode="External"/><Relationship Id="rId49" Type="http://schemas.openxmlformats.org/officeDocument/2006/relationships/hyperlink" Target="https://www.amazon.com/SNICKERS-Sharing-Chocolate-3-29-Ounce-24-Count/dp/B0029JHH4W/ref=sr_1_1_a_it?ie=UTF8&amp;qid=1493771420&amp;sr=8-1&amp;keywords=SNICKERS%2BSharing%2BSize%2BChocolate%2BCandy%2BBars%2B3.29-Ounce%2BBar%2B24-Count%2BBox&amp;th=1"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backpackerspantry.com/products/chocolate-s-mores.html" TargetMode="External"/><Relationship Id="rId18" Type="http://schemas.openxmlformats.org/officeDocument/2006/relationships/hyperlink" Target="http://www.backpackerspantry.com/creme-brulee.html" TargetMode="External"/><Relationship Id="rId26" Type="http://schemas.openxmlformats.org/officeDocument/2006/relationships/hyperlink" Target="https://www.amazon.com/Backpackers-Pantry-Mashed-Potatoes-Gravy/dp/B005CP0FOE/ref=sr_1_9?ie=UTF8&amp;qid=1493153483&amp;sr=8-9&amp;keywords=backpackers+pantry+potatoes+beef" TargetMode="External"/><Relationship Id="rId39" Type="http://schemas.openxmlformats.org/officeDocument/2006/relationships/hyperlink" Target="https://www.alpineaire.com/us/us/449-60422-honey-lime-chicken" TargetMode="External"/><Relationship Id="rId21" Type="http://schemas.openxmlformats.org/officeDocument/2006/relationships/hyperlink" Target="http://www.backpackerspantry.com/garlic-herb-mashed-potatoes.html" TargetMode="External"/><Relationship Id="rId34" Type="http://schemas.openxmlformats.org/officeDocument/2006/relationships/hyperlink" Target="https://www.amazon.com/Nut-Harvest-Chocolate-Mix-Jar/dp/B071KF6791/ref=sr_1_2_sspa?s=grocery&amp;rps=1&amp;ie=UTF8&amp;qid=1526166928&amp;sr=1-2-spons&amp;keywords=trail%2Bmix&amp;refinements=p_85%3A2470955011&amp;th=1" TargetMode="External"/><Relationship Id="rId42" Type="http://schemas.openxmlformats.org/officeDocument/2006/relationships/hyperlink" Target="https://www.alpineaire.com/us/us/10197-60449-wild-quinoa-pilaf-with-hemp-crispies" TargetMode="External"/><Relationship Id="rId47" Type="http://schemas.openxmlformats.org/officeDocument/2006/relationships/hyperlink" Target="https://www.amazon.com/gp/product/B00II0XHZO/ref=od_aui_detailpages00?ie=UTF8&amp;psc=1" TargetMode="External"/><Relationship Id="rId50" Type="http://schemas.openxmlformats.org/officeDocument/2006/relationships/hyperlink" Target="https://www.amazon.com/gp/product/B001HTIALE/ref=oh_aui_search_detailpage?ie=UTF8&amp;psc=1" TargetMode="External"/><Relationship Id="rId7" Type="http://schemas.openxmlformats.org/officeDocument/2006/relationships/hyperlink" Target="https://www.amazon.com/gp/product/B01MTVCFBP/ref=ox_sc_act_title_18?ie=UTF8&amp;smid=ATVPDKIKX0DER&amp;th=1" TargetMode="External"/><Relationship Id="rId2" Type="http://schemas.openxmlformats.org/officeDocument/2006/relationships/hyperlink" Target="http://www.thrivelife.com/bananas-snackies-pouch-3634.html" TargetMode="External"/><Relationship Id="rId16" Type="http://schemas.openxmlformats.org/officeDocument/2006/relationships/hyperlink" Target="http://www.backpackerspantry.com/granola-with-milk-bananas.html" TargetMode="External"/><Relationship Id="rId29" Type="http://schemas.openxmlformats.org/officeDocument/2006/relationships/hyperlink" Target="https://www.amazon.com/Backpackers-Pantry-Serving-Pouch-Packaging/dp/B001GUT4S2/ref=sr_1_1?ie=UTF8&amp;qid=1526160618&amp;sr=8-1&amp;keywords=backpacker%27s+pantry+pad+thai&amp;dpID=51mHskSvK9L&amp;preST=_SY300_QL70_&amp;dpSrc=srch" TargetMode="External"/><Relationship Id="rId11" Type="http://schemas.openxmlformats.org/officeDocument/2006/relationships/hyperlink" Target="https://www.amazon.com/CLIF-BUILDERS-Protein-Crunchy-Non-GMO/dp/B0089PYRWK/ref=pd_sim_121_5?_encoding=UTF8&amp;pd_rd_i=B0089PYRWK&amp;pd_rd_r=MRZXZES8H11H4WSZ4W60&amp;pd_rd_w=z79t5&amp;pd_rd_wg=RA0uE&amp;refRID=MRZXZES8H11H4WSZ4W60&amp;th=1" TargetMode="External"/><Relationship Id="rId24" Type="http://schemas.openxmlformats.org/officeDocument/2006/relationships/hyperlink" Target="https://www.amazon.com/KRAVE-Jerky-Sweet-Chipotle-Ounce/dp/B06XPWBZWS/ref=sr_1_4_s_it?s=grocery&amp;rps=1&amp;ie=UTF8&amp;qid=1493245254&amp;sr=1-4&amp;keywords=krave+sweet+chipotle+beef+jerky&amp;refinements=p_85%3A2470955011" TargetMode="External"/><Relationship Id="rId32" Type="http://schemas.openxmlformats.org/officeDocument/2006/relationships/hyperlink" Target="https://www.alpineaire.com/us/us/25272-30105-Toffee+Break" TargetMode="External"/><Relationship Id="rId37" Type="http://schemas.openxmlformats.org/officeDocument/2006/relationships/hyperlink" Target="https://www.alpineaire.com/us/us/451-60407-black-bart-chili-with-beef-beans" TargetMode="External"/><Relationship Id="rId40" Type="http://schemas.openxmlformats.org/officeDocument/2006/relationships/hyperlink" Target="https://www.alpineaire.com/us/us/25273-30107-Monkey+Mix" TargetMode="External"/><Relationship Id="rId45" Type="http://schemas.openxmlformats.org/officeDocument/2006/relationships/hyperlink" Target="https://www.amazon.com/gp/product/B00E1XPY3A/ref=od_aui_detailpages00?ie=UTF8&amp;psc=1" TargetMode="External"/><Relationship Id="rId5" Type="http://schemas.openxmlformats.org/officeDocument/2006/relationships/hyperlink" Target="http://www.thrivelife.com/cheddar-bites-snackies-pouch.html" TargetMode="External"/><Relationship Id="rId15" Type="http://schemas.openxmlformats.org/officeDocument/2006/relationships/hyperlink" Target="https://www.amazon.com/Mountain-House-Granola-Blueberries-Premium/dp/B000M8070I/ref=sr_1_1?ie=UTF8&amp;qid=1493141559&amp;sr=8-1-spons&amp;keywords=mountain%2Bhouse%2Bgranola%2Bwith%2Bmilk%2Band%2Bblueberries&amp;th=1" TargetMode="External"/><Relationship Id="rId23" Type="http://schemas.openxmlformats.org/officeDocument/2006/relationships/hyperlink" Target="https://www.amazon.com/KRAVE-Jerky-Beef-Chili-Ounce/dp/B06XPPKXF9/ref=sr_1_3_s_it?s=grocery&amp;rps=1&amp;ie=UTF8&amp;qid=1493244952&amp;sr=1-3&amp;keywords=krave+chili+lime+beef+jerky&amp;refinements=p_85%3A2470955011" TargetMode="External"/><Relationship Id="rId28" Type="http://schemas.openxmlformats.org/officeDocument/2006/relationships/hyperlink" Target="https://www.amazon.com/Mountain-House-Macaroni-and-Cheese/dp/B000M7Z2NQ/ref=sr_1_1?ie=UTF8&amp;qid=1493064567&amp;sr=8-1&amp;keywords=mountain%2Bhouse%2Bmacaroni%2Band%2Bcheese&amp;th=1" TargetMode="External"/><Relationship Id="rId36" Type="http://schemas.openxmlformats.org/officeDocument/2006/relationships/hyperlink" Target="https://www.amazon.com/Starbucks-Ready-Place-Roast-Coffee/dp/B00GGRCYU0/ref=sr_1_8_s_it?s=grocery&amp;rps=1&amp;ie=UTF8&amp;qid=1493242128&amp;sr=1-8&amp;keywords=starbucks+via&amp;refinements=p_85%3A2470955011" TargetMode="External"/><Relationship Id="rId49" Type="http://schemas.openxmlformats.org/officeDocument/2006/relationships/hyperlink" Target="https://www.amazon.com/gp/product/B00E1XPY3A/ref=od_aui_detailpages00?ie=UTF8&amp;psc=1" TargetMode="External"/><Relationship Id="rId10" Type="http://schemas.openxmlformats.org/officeDocument/2006/relationships/hyperlink" Target="https://www.amazon.com/dp/B000M7SY0Y/ref=twister_B00QKP2T7G?_encoding=UTF8&amp;th=1" TargetMode="External"/><Relationship Id="rId19" Type="http://schemas.openxmlformats.org/officeDocument/2006/relationships/hyperlink" Target="https://www.amazon.com/Epic-Natural-Grass-Bison-Cranberry/dp/B00ET7LPK4/ref=sr_1_1_s_it?s=grocery&amp;ie=UTF8&amp;qid=1493078936&amp;sr=1-1&amp;keywords=epic%2Bbar&amp;th=1" TargetMode="External"/><Relationship Id="rId31" Type="http://schemas.openxmlformats.org/officeDocument/2006/relationships/hyperlink" Target="http://www.backpackerspantry.com/spicy-thai-peanut-sauce.html" TargetMode="External"/><Relationship Id="rId44" Type="http://schemas.openxmlformats.org/officeDocument/2006/relationships/hyperlink" Target="https://smile.amazon.com/Swiss-Miss-Marshmallow-Lovers-7-44oz/dp/B00E9N9RGM/ref=sr_1_4_s_it?s=grocery&amp;ie=UTF8&amp;qid=1529532053&amp;sr=1-4&amp;keywords=hot+cocoa+marshmallow+lovers&amp;dpID=51okqNF85rL&amp;preST=_SY300_QL70_&amp;dpSrc=srch" TargetMode="External"/><Relationship Id="rId4" Type="http://schemas.openxmlformats.org/officeDocument/2006/relationships/hyperlink" Target="https://www.amazon.com/Mountain-House-Breakfast-Skillet-6-Pack/dp/B01MQNOI9S/ref=sr_1_2?s=sporting-goods&amp;ie=UTF8&amp;qid=1526768764&amp;sr=1-2&amp;keywords=mountain%2Bhouse%2Bbreakfast%2Bskillet&amp;dpID=51zWqEGBSWL&amp;preST=_SX300_QL70_&amp;dpSrc=srch&amp;th=1&amp;psc=1" TargetMode="External"/><Relationship Id="rId9" Type="http://schemas.openxmlformats.org/officeDocument/2006/relationships/hyperlink" Target="http://www.thrivelife.com/coconut-bites-snackies-pouch-3636.html" TargetMode="External"/><Relationship Id="rId14" Type="http://schemas.openxmlformats.org/officeDocument/2006/relationships/hyperlink" Target="https://www.amazon.com/Mountain-House-Chicken-Potatoes-Premium/dp/B000SJNI6G/ref=sr_1_1?ie=UTF8&amp;qid=1493144583&amp;sr=8-1-spons&amp;keywords=mountain%2Bhouse%2Bchicken%2Bbreast&amp;th=1" TargetMode="External"/><Relationship Id="rId22" Type="http://schemas.openxmlformats.org/officeDocument/2006/relationships/hyperlink" Target="https://www.amazon.com/Mountain-House-Ice-Cream-Sandwich/dp/B01IWSG2VC/ref=sr_1_1?ie=UTF8&amp;qid=1493147178&amp;sr=8-1&amp;keywords=mountain%2Bhouse%2Bice%2Bcream%2Bsandwich&amp;th=1" TargetMode="External"/><Relationship Id="rId27" Type="http://schemas.openxmlformats.org/officeDocument/2006/relationships/hyperlink" Target="https://www.amazon.com/Milk-Chocolate-Candy-Party-42-Ounce/dp/B0029JIIK4/ref=sr_1_4_a_it?ie=UTF8&amp;qid=1493759425&amp;sr=8-4&amp;keywords=m%26ms&amp;th=1" TargetMode="External"/><Relationship Id="rId30" Type="http://schemas.openxmlformats.org/officeDocument/2006/relationships/hyperlink" Target="http://www.backpackerspantry.com/three-cheese-mac-cheese-2-servings.html" TargetMode="External"/><Relationship Id="rId35" Type="http://schemas.openxmlformats.org/officeDocument/2006/relationships/hyperlink" Target="https://www.amazon.com/Hoosier-Hill-Farm-American-Powder/dp/B0099XI58S/ref=sr_1_2_a_it?srs=5583893011&amp;ie=UTF8&amp;qid=1493241570&amp;sr=8-2&amp;keywords=milk" TargetMode="External"/><Relationship Id="rId43" Type="http://schemas.openxmlformats.org/officeDocument/2006/relationships/hyperlink" Target="https://www.amazon.com/CLIF-BUILDERS-Protein-Chocolate-Ounce/dp/B000GPRZSO/ref=sr_1_1?s=grocery&amp;ie=UTF8&amp;qid=1493162226&amp;sr=1-1-spons&amp;keywords=clif%2Bbar%2Bchocolate%2Bmint&amp;th=1" TargetMode="External"/><Relationship Id="rId48" Type="http://schemas.openxmlformats.org/officeDocument/2006/relationships/hyperlink" Target="https://www.amazon.com/gp/product/B00E1XPYB2/ref=od_aui_detailpages00?ie=UTF8&amp;psc=1" TargetMode="External"/><Relationship Id="rId8" Type="http://schemas.openxmlformats.org/officeDocument/2006/relationships/hyperlink" Target="https://www.amazon.com/CLIF-BUILDERS-Protein-Chocolate-Ounce/dp/B000GPRZSO/ref=sr_1_1?s=grocery&amp;ie=UTF8&amp;qid=1493162226&amp;sr=1-1-spons&amp;keywords=clif%2Bbar%2Bchocolate%2Bmint&amp;th=1" TargetMode="External"/><Relationship Id="rId3" Type="http://schemas.openxmlformats.org/officeDocument/2006/relationships/hyperlink" Target="https://www.mountainhouse.com/M/product/apple-crisp.html?variant_id=32" TargetMode="External"/><Relationship Id="rId12" Type="http://schemas.openxmlformats.org/officeDocument/2006/relationships/hyperlink" Target="https://www.alpineaire.com/us/us/444-60309-chicken-gumbo" TargetMode="External"/><Relationship Id="rId17" Type="http://schemas.openxmlformats.org/officeDocument/2006/relationships/hyperlink" Target="http://www.backpackerspantry.com/cuban-coconut-black-beans-rice.html" TargetMode="External"/><Relationship Id="rId25" Type="http://schemas.openxmlformats.org/officeDocument/2006/relationships/hyperlink" Target="https://www.amazon.com/KRAVE-Jerky-Black-Cherry-Barbeque/dp/B06XPY4YJX/ref=sr_1_1_a_it?rps=1&amp;ie=UTF8&amp;qid=1493246079&amp;sr=8-1&amp;keywords=krave+black+cherry+barbeque+pork+jerky&amp;refinements=p_85%3A2470955011" TargetMode="External"/><Relationship Id="rId33" Type="http://schemas.openxmlformats.org/officeDocument/2006/relationships/hyperlink" Target="https://www.amazon.com/SNICKERS-Sharing-Chocolate-3-29-Ounce-24-Count/dp/B0029JHH4W/ref=sr_1_1_a_it?ie=UTF8&amp;qid=1493771420&amp;sr=8-1&amp;keywords=SNICKERS%2BSharing%2BSize%2BChocolate%2BCandy%2BBars%2B3.29-Ounce%2BBar%2B24-Count%2BBox&amp;th=1" TargetMode="External"/><Relationship Id="rId38" Type="http://schemas.openxmlformats.org/officeDocument/2006/relationships/hyperlink" Target="https://www.alpineaire.com/us/us/369-60443-himalayan-lentils-rice" TargetMode="External"/><Relationship Id="rId46" Type="http://schemas.openxmlformats.org/officeDocument/2006/relationships/hyperlink" Target="https://www.amazon.com/gp/product/B00E1XPYB2/ref=od_aui_detailpages00?ie=UTF8&amp;psc=1" TargetMode="External"/><Relationship Id="rId20" Type="http://schemas.openxmlformats.org/officeDocument/2006/relationships/hyperlink" Target="https://www.amazon.com/Epic-Natural-Grass-Bison-Cranberry/dp/B00JQ47DO2/ref=sr_1_1_s_it?s=grocery&amp;ie=UTF8&amp;qid=1493078936&amp;sr=1-1&amp;keywords=epic%2Bbar&amp;th=1" TargetMode="External"/><Relationship Id="rId41" Type="http://schemas.openxmlformats.org/officeDocument/2006/relationships/hyperlink" Target="https://www.alpineaire.com/us/us/377-60402-pepper-beef-with-rice" TargetMode="External"/><Relationship Id="rId1" Type="http://schemas.openxmlformats.org/officeDocument/2006/relationships/hyperlink" Target="https://www.amazon.com/Mountain-House-53536-Apple-Crisp/dp/B01MSP32PW/ref=sr_1_1?ie=UTF8&amp;qid=1493145495&amp;sr=8-1&amp;keywords=mountain%2Bhouse%2Bapple%2Bcrisp&amp;th=1" TargetMode="External"/><Relationship Id="rId6" Type="http://schemas.openxmlformats.org/officeDocument/2006/relationships/hyperlink" Target="https://www.amazon.com/Cheetos-Crunchy-Cheese-Flavored-Snacks/dp/B000R7TE9Y/ref=sr_1_3?s=grocery&amp;ie=UTF8&amp;qid=1493160575&amp;sr=1-3-spons&amp;keywords=cheetos&amp;th=1"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workbookViewId="0">
      <selection sqref="A1:P1"/>
    </sheetView>
  </sheetViews>
  <sheetFormatPr baseColWidth="10" defaultColWidth="10.6640625" defaultRowHeight="16" x14ac:dyDescent="0.2"/>
  <cols>
    <col min="1" max="1" width="28.33203125" style="48" bestFit="1" customWidth="1"/>
    <col min="2" max="2" width="4.83203125" style="49" bestFit="1" customWidth="1"/>
    <col min="3" max="4" width="7" style="5" bestFit="1" customWidth="1"/>
    <col min="5" max="5" width="36.1640625" style="50" customWidth="1"/>
    <col min="6" max="6" width="7" style="51" bestFit="1" customWidth="1"/>
    <col min="7" max="7" width="7" style="5" bestFit="1" customWidth="1"/>
    <col min="8" max="8" width="27.33203125" style="14" customWidth="1"/>
    <col min="9" max="9" width="5.83203125" style="5" bestFit="1" customWidth="1"/>
    <col min="10" max="10" width="8.33203125" style="5" customWidth="1"/>
    <col min="11" max="11" width="7.1640625" style="5" bestFit="1" customWidth="1"/>
    <col min="12" max="12" width="8.1640625" style="5" bestFit="1" customWidth="1"/>
    <col min="13" max="13" width="8.6640625" style="5" bestFit="1" customWidth="1"/>
    <col min="14" max="14" width="54" style="14" customWidth="1"/>
    <col min="15" max="15" width="49.33203125" style="14" customWidth="1"/>
    <col min="16" max="16" width="31.33203125" style="14" customWidth="1"/>
    <col min="17" max="16384" width="10.6640625" style="52"/>
  </cols>
  <sheetData>
    <row r="1" spans="1:16" s="37" customFormat="1" ht="87" customHeight="1" x14ac:dyDescent="0.2">
      <c r="A1" s="443" t="s">
        <v>749</v>
      </c>
      <c r="B1" s="443"/>
      <c r="C1" s="443"/>
      <c r="D1" s="443"/>
      <c r="E1" s="443"/>
      <c r="F1" s="443"/>
      <c r="G1" s="443"/>
      <c r="H1" s="443"/>
      <c r="I1" s="443"/>
      <c r="J1" s="443"/>
      <c r="K1" s="443"/>
      <c r="L1" s="443"/>
      <c r="M1" s="443"/>
      <c r="N1" s="443"/>
      <c r="O1" s="443"/>
      <c r="P1" s="443"/>
    </row>
    <row r="2" spans="1:16" s="5" customFormat="1" ht="80" x14ac:dyDescent="0.2">
      <c r="A2" s="1" t="s">
        <v>0</v>
      </c>
      <c r="B2" s="2" t="s">
        <v>1</v>
      </c>
      <c r="C2" s="3" t="s">
        <v>2</v>
      </c>
      <c r="D2" s="3" t="s">
        <v>7</v>
      </c>
      <c r="E2" s="3" t="s">
        <v>5</v>
      </c>
      <c r="F2" s="4" t="s">
        <v>3</v>
      </c>
      <c r="G2" s="3" t="s">
        <v>7</v>
      </c>
      <c r="H2" s="3" t="s">
        <v>6</v>
      </c>
      <c r="I2" s="3" t="s">
        <v>8</v>
      </c>
      <c r="J2" s="3" t="s">
        <v>4</v>
      </c>
      <c r="K2" s="3" t="s">
        <v>29</v>
      </c>
      <c r="L2" s="3" t="s">
        <v>9</v>
      </c>
      <c r="M2" s="3" t="s">
        <v>10</v>
      </c>
      <c r="N2" s="6" t="s">
        <v>28</v>
      </c>
      <c r="O2" s="6" t="s">
        <v>13</v>
      </c>
      <c r="P2" s="7" t="s">
        <v>42</v>
      </c>
    </row>
    <row r="3" spans="1:16" s="23" customFormat="1" ht="48" x14ac:dyDescent="0.2">
      <c r="A3" s="67">
        <v>43302</v>
      </c>
      <c r="B3" s="17">
        <v>0</v>
      </c>
      <c r="C3" s="18"/>
      <c r="D3" s="18"/>
      <c r="E3" s="19" t="s">
        <v>117</v>
      </c>
      <c r="F3" s="20" t="s">
        <v>12</v>
      </c>
      <c r="G3" s="18"/>
      <c r="H3" s="21" t="s">
        <v>116</v>
      </c>
      <c r="I3" s="18">
        <v>0</v>
      </c>
      <c r="J3" s="18"/>
      <c r="K3" s="18" t="s">
        <v>30</v>
      </c>
      <c r="L3" s="47"/>
      <c r="M3" s="47"/>
      <c r="N3" s="8"/>
      <c r="O3" s="8"/>
      <c r="P3" s="8" t="s">
        <v>115</v>
      </c>
    </row>
    <row r="4" spans="1:16" s="13" customFormat="1" ht="51" x14ac:dyDescent="0.2">
      <c r="A4" s="24">
        <f>$A$3+B4</f>
        <v>43303</v>
      </c>
      <c r="B4" s="28">
        <v>1</v>
      </c>
      <c r="C4" s="29">
        <v>0</v>
      </c>
      <c r="D4" s="29">
        <v>9185</v>
      </c>
      <c r="E4" s="30" t="s">
        <v>11</v>
      </c>
      <c r="F4" s="31">
        <v>7</v>
      </c>
      <c r="G4" s="29">
        <v>10900</v>
      </c>
      <c r="H4" s="32" t="s">
        <v>44</v>
      </c>
      <c r="I4" s="29">
        <f>F4-C4</f>
        <v>7</v>
      </c>
      <c r="J4" s="29">
        <f>I4</f>
        <v>7</v>
      </c>
      <c r="K4" s="29" t="s">
        <v>30</v>
      </c>
      <c r="L4" s="26">
        <v>2674.9</v>
      </c>
      <c r="M4" s="26">
        <v>1125.3</v>
      </c>
      <c r="N4" s="346" t="s">
        <v>750</v>
      </c>
      <c r="O4" s="10"/>
      <c r="P4" s="15" t="s">
        <v>43</v>
      </c>
    </row>
    <row r="5" spans="1:16" s="37" customFormat="1" ht="64" x14ac:dyDescent="0.2">
      <c r="A5" s="16">
        <f t="shared" ref="A5:A40" si="0">$A$3+B5</f>
        <v>43304</v>
      </c>
      <c r="B5" s="33">
        <f>B4+1</f>
        <v>2</v>
      </c>
      <c r="C5" s="34">
        <v>30.9</v>
      </c>
      <c r="D5" s="34">
        <f t="shared" ref="D5:E7" si="1">G4</f>
        <v>10900</v>
      </c>
      <c r="E5" s="35" t="str">
        <f t="shared" si="1"/>
        <v>Tent Site (Near Charlotte Lake Trail)</v>
      </c>
      <c r="F5" s="36">
        <v>35.5</v>
      </c>
      <c r="G5" s="34">
        <v>10570</v>
      </c>
      <c r="H5" s="58" t="s">
        <v>62</v>
      </c>
      <c r="I5" s="34">
        <f>F5-C5</f>
        <v>4.6000000000000014</v>
      </c>
      <c r="J5" s="34">
        <f t="shared" ref="J5:J14" si="2">J4+I5</f>
        <v>11.600000000000001</v>
      </c>
      <c r="K5" s="61" t="s">
        <v>30</v>
      </c>
      <c r="L5" s="22">
        <v>1332</v>
      </c>
      <c r="M5" s="22">
        <v>1502.3</v>
      </c>
      <c r="N5" s="68" t="s">
        <v>102</v>
      </c>
      <c r="O5" s="11" t="s">
        <v>45</v>
      </c>
      <c r="P5" s="11" t="s">
        <v>46</v>
      </c>
    </row>
    <row r="6" spans="1:16" s="13" customFormat="1" ht="80" x14ac:dyDescent="0.2">
      <c r="A6" s="24">
        <f t="shared" si="0"/>
        <v>43305</v>
      </c>
      <c r="B6" s="28">
        <f t="shared" ref="B6:B40" si="3">B5+1</f>
        <v>3</v>
      </c>
      <c r="C6" s="29">
        <f>F5</f>
        <v>35.5</v>
      </c>
      <c r="D6" s="29">
        <f t="shared" si="1"/>
        <v>10570</v>
      </c>
      <c r="E6" s="30" t="str">
        <f t="shared" si="1"/>
        <v>Tent Site (on East side of Rae Lakes)</v>
      </c>
      <c r="F6" s="31">
        <v>43.7</v>
      </c>
      <c r="G6" s="29">
        <v>9243</v>
      </c>
      <c r="H6" s="57" t="s">
        <v>63</v>
      </c>
      <c r="I6" s="29">
        <f>(F6-C6)+0.1</f>
        <v>8.3000000000000025</v>
      </c>
      <c r="J6" s="29">
        <f t="shared" si="2"/>
        <v>19.900000000000006</v>
      </c>
      <c r="K6" s="60" t="s">
        <v>30</v>
      </c>
      <c r="L6" s="26">
        <v>868.1</v>
      </c>
      <c r="M6" s="26">
        <v>2195.9</v>
      </c>
      <c r="N6" s="53" t="s">
        <v>48</v>
      </c>
      <c r="O6" s="53" t="s">
        <v>51</v>
      </c>
      <c r="P6" s="15" t="s">
        <v>47</v>
      </c>
    </row>
    <row r="7" spans="1:16" s="37" customFormat="1" ht="32" x14ac:dyDescent="0.2">
      <c r="A7" s="16">
        <f t="shared" si="0"/>
        <v>43306</v>
      </c>
      <c r="B7" s="33">
        <f t="shared" si="3"/>
        <v>4</v>
      </c>
      <c r="C7" s="34">
        <f>F6</f>
        <v>43.7</v>
      </c>
      <c r="D7" s="34">
        <f t="shared" si="1"/>
        <v>9243</v>
      </c>
      <c r="E7" s="35" t="str">
        <f t="shared" si="1"/>
        <v>Tent Site (Near Woods Creek / 1.7mi past Paradise Valley Junction)</v>
      </c>
      <c r="F7" s="36">
        <v>50.9</v>
      </c>
      <c r="G7" s="34">
        <v>11169</v>
      </c>
      <c r="H7" s="58" t="s">
        <v>64</v>
      </c>
      <c r="I7" s="34">
        <f t="shared" ref="I7:I14" si="4">F7-C7</f>
        <v>7.1999999999999957</v>
      </c>
      <c r="J7" s="34">
        <f t="shared" si="2"/>
        <v>27.1</v>
      </c>
      <c r="K7" s="61" t="s">
        <v>30</v>
      </c>
      <c r="L7" s="22">
        <v>2961.6</v>
      </c>
      <c r="M7" s="22">
        <v>1038.0999999999999</v>
      </c>
      <c r="N7" s="55" t="s">
        <v>49</v>
      </c>
      <c r="O7" s="55" t="s">
        <v>50</v>
      </c>
      <c r="P7" s="55" t="s">
        <v>52</v>
      </c>
    </row>
    <row r="8" spans="1:16" s="13" customFormat="1" ht="48" x14ac:dyDescent="0.2">
      <c r="A8" s="24">
        <f t="shared" si="0"/>
        <v>43307</v>
      </c>
      <c r="B8" s="28">
        <f t="shared" si="3"/>
        <v>5</v>
      </c>
      <c r="C8" s="29">
        <f>F7</f>
        <v>50.9</v>
      </c>
      <c r="D8" s="29">
        <f>G7</f>
        <v>11169</v>
      </c>
      <c r="E8" s="30" t="str">
        <f>H7</f>
        <v>Tent Site (Lake Marjorie, 1.4mi past Pinchot Pass)</v>
      </c>
      <c r="F8" s="31">
        <v>58</v>
      </c>
      <c r="G8" s="29">
        <v>11521</v>
      </c>
      <c r="H8" s="57" t="s">
        <v>65</v>
      </c>
      <c r="I8" s="29">
        <f t="shared" si="4"/>
        <v>7.1000000000000014</v>
      </c>
      <c r="J8" s="29">
        <f t="shared" si="2"/>
        <v>34.200000000000003</v>
      </c>
      <c r="K8" s="29" t="s">
        <v>30</v>
      </c>
      <c r="L8" s="26">
        <v>1495.7</v>
      </c>
      <c r="M8" s="26">
        <v>1143</v>
      </c>
      <c r="N8" s="53" t="s">
        <v>53</v>
      </c>
      <c r="O8" s="53" t="s">
        <v>54</v>
      </c>
      <c r="P8" s="10" t="s">
        <v>52</v>
      </c>
    </row>
    <row r="9" spans="1:16" s="37" customFormat="1" ht="32" x14ac:dyDescent="0.2">
      <c r="A9" s="16">
        <f t="shared" si="0"/>
        <v>43308</v>
      </c>
      <c r="B9" s="33">
        <f t="shared" si="3"/>
        <v>6</v>
      </c>
      <c r="C9" s="34">
        <f t="shared" ref="C9:E10" si="5">F8</f>
        <v>58</v>
      </c>
      <c r="D9" s="34">
        <f t="shared" si="5"/>
        <v>11521</v>
      </c>
      <c r="E9" s="35" t="str">
        <f t="shared" si="5"/>
        <v>Tent Site (1.3mi before Mather Pass, at base of pass)</v>
      </c>
      <c r="F9" s="36">
        <v>64.900000000000006</v>
      </c>
      <c r="G9" s="34">
        <v>9516</v>
      </c>
      <c r="H9" s="58" t="s">
        <v>66</v>
      </c>
      <c r="I9" s="34">
        <f t="shared" si="4"/>
        <v>6.9000000000000057</v>
      </c>
      <c r="J9" s="34">
        <f t="shared" si="2"/>
        <v>41.100000000000009</v>
      </c>
      <c r="K9" s="61" t="s">
        <v>30</v>
      </c>
      <c r="L9" s="22">
        <v>633.20000000000005</v>
      </c>
      <c r="M9" s="22">
        <v>2641.4</v>
      </c>
      <c r="N9" s="55" t="s">
        <v>55</v>
      </c>
      <c r="O9" s="55" t="s">
        <v>56</v>
      </c>
      <c r="P9" s="55" t="s">
        <v>57</v>
      </c>
    </row>
    <row r="10" spans="1:16" s="13" customFormat="1" ht="32" x14ac:dyDescent="0.2">
      <c r="A10" s="24">
        <f t="shared" si="0"/>
        <v>43309</v>
      </c>
      <c r="B10" s="28">
        <f t="shared" si="3"/>
        <v>7</v>
      </c>
      <c r="C10" s="29">
        <f t="shared" si="5"/>
        <v>64.900000000000006</v>
      </c>
      <c r="D10" s="29">
        <f t="shared" si="5"/>
        <v>9516</v>
      </c>
      <c r="E10" s="30" t="str">
        <f t="shared" si="5"/>
        <v>Tent Site (2.5mi past Palisade Lakes)</v>
      </c>
      <c r="F10" s="31">
        <v>75.3</v>
      </c>
      <c r="G10" s="29">
        <v>9247</v>
      </c>
      <c r="H10" s="57" t="s">
        <v>60</v>
      </c>
      <c r="I10" s="29">
        <f t="shared" si="4"/>
        <v>10.399999999999991</v>
      </c>
      <c r="J10" s="29">
        <f t="shared" si="2"/>
        <v>51.5</v>
      </c>
      <c r="K10" s="29"/>
      <c r="L10" s="26">
        <v>1431.1</v>
      </c>
      <c r="M10" s="26">
        <v>1698.8</v>
      </c>
      <c r="N10" s="56" t="s">
        <v>58</v>
      </c>
      <c r="O10" s="56" t="s">
        <v>59</v>
      </c>
      <c r="P10" s="56" t="s">
        <v>61</v>
      </c>
    </row>
    <row r="11" spans="1:16" s="37" customFormat="1" ht="112" x14ac:dyDescent="0.2">
      <c r="A11" s="16">
        <f t="shared" si="0"/>
        <v>43310</v>
      </c>
      <c r="B11" s="33">
        <f t="shared" si="3"/>
        <v>8</v>
      </c>
      <c r="C11" s="34">
        <f t="shared" ref="C11:E13" si="6">F10</f>
        <v>75.3</v>
      </c>
      <c r="D11" s="34">
        <f t="shared" si="6"/>
        <v>9247</v>
      </c>
      <c r="E11" s="35" t="str">
        <f t="shared" si="6"/>
        <v>Tent Site (Big Pete Meadow, 2.5 mi past Bishop Pass)</v>
      </c>
      <c r="F11" s="36">
        <v>80.099999999999994</v>
      </c>
      <c r="G11" s="34">
        <v>11628</v>
      </c>
      <c r="H11" s="58" t="s">
        <v>67</v>
      </c>
      <c r="I11" s="34">
        <f t="shared" si="4"/>
        <v>4.7999999999999972</v>
      </c>
      <c r="J11" s="34">
        <f t="shared" si="2"/>
        <v>56.3</v>
      </c>
      <c r="K11" s="61" t="s">
        <v>30</v>
      </c>
      <c r="L11" s="22">
        <v>2454.6999999999998</v>
      </c>
      <c r="M11" s="22">
        <v>62.3</v>
      </c>
      <c r="N11" s="59" t="s">
        <v>69</v>
      </c>
      <c r="O11" s="59" t="s">
        <v>68</v>
      </c>
      <c r="P11" s="59" t="s">
        <v>61</v>
      </c>
    </row>
    <row r="12" spans="1:16" s="13" customFormat="1" ht="64" x14ac:dyDescent="0.2">
      <c r="A12" s="24">
        <f t="shared" si="0"/>
        <v>43311</v>
      </c>
      <c r="B12" s="28">
        <f t="shared" si="3"/>
        <v>9</v>
      </c>
      <c r="C12" s="29">
        <f t="shared" si="6"/>
        <v>80.099999999999994</v>
      </c>
      <c r="D12" s="29">
        <f t="shared" si="6"/>
        <v>11628</v>
      </c>
      <c r="E12" s="30" t="str">
        <f t="shared" si="6"/>
        <v>Helen Lake</v>
      </c>
      <c r="F12" s="31">
        <v>87.4</v>
      </c>
      <c r="G12" s="29">
        <v>10870</v>
      </c>
      <c r="H12" s="57" t="s">
        <v>71</v>
      </c>
      <c r="I12" s="29">
        <f t="shared" si="4"/>
        <v>7.3000000000000114</v>
      </c>
      <c r="J12" s="29">
        <f t="shared" si="2"/>
        <v>63.600000000000009</v>
      </c>
      <c r="K12" s="60" t="s">
        <v>30</v>
      </c>
      <c r="L12" s="26">
        <v>567.29999999999995</v>
      </c>
      <c r="M12" s="26">
        <v>1326.1</v>
      </c>
      <c r="N12" s="56" t="s">
        <v>73</v>
      </c>
      <c r="O12" s="56" t="s">
        <v>70</v>
      </c>
      <c r="P12" s="56" t="s">
        <v>72</v>
      </c>
    </row>
    <row r="13" spans="1:16" s="37" customFormat="1" ht="68" x14ac:dyDescent="0.2">
      <c r="A13" s="16">
        <f t="shared" si="0"/>
        <v>43312</v>
      </c>
      <c r="B13" s="33">
        <f t="shared" si="3"/>
        <v>10</v>
      </c>
      <c r="C13" s="34">
        <f t="shared" si="6"/>
        <v>87.4</v>
      </c>
      <c r="D13" s="34">
        <f t="shared" si="6"/>
        <v>10870</v>
      </c>
      <c r="E13" s="35" t="str">
        <f t="shared" si="6"/>
        <v>Evolution Lake (North End)</v>
      </c>
      <c r="F13" s="36">
        <v>100.7</v>
      </c>
      <c r="G13" s="34">
        <v>7894</v>
      </c>
      <c r="H13" s="58" t="s">
        <v>14</v>
      </c>
      <c r="I13" s="34">
        <f t="shared" si="4"/>
        <v>13.299999999999997</v>
      </c>
      <c r="J13" s="34">
        <f t="shared" si="2"/>
        <v>76.900000000000006</v>
      </c>
      <c r="K13" s="61"/>
      <c r="L13" s="22">
        <v>597.4</v>
      </c>
      <c r="M13" s="22">
        <v>3759.5</v>
      </c>
      <c r="N13" s="59" t="s">
        <v>74</v>
      </c>
      <c r="O13" s="59" t="s">
        <v>76</v>
      </c>
      <c r="P13" s="84" t="s">
        <v>122</v>
      </c>
    </row>
    <row r="14" spans="1:16" s="37" customFormat="1" ht="17" x14ac:dyDescent="0.2">
      <c r="A14" s="16">
        <f t="shared" si="0"/>
        <v>43312</v>
      </c>
      <c r="B14" s="33">
        <f>B13</f>
        <v>10</v>
      </c>
      <c r="C14" s="34">
        <v>0</v>
      </c>
      <c r="D14" s="34">
        <f>G13</f>
        <v>7894</v>
      </c>
      <c r="E14" s="35" t="str">
        <f>H13</f>
        <v>Muir Trail Ranch Trail</v>
      </c>
      <c r="F14" s="36">
        <v>1.5</v>
      </c>
      <c r="G14" s="34">
        <v>7692</v>
      </c>
      <c r="H14" s="58" t="s">
        <v>15</v>
      </c>
      <c r="I14" s="34">
        <f t="shared" si="4"/>
        <v>1.5</v>
      </c>
      <c r="J14" s="34">
        <f t="shared" si="2"/>
        <v>78.400000000000006</v>
      </c>
      <c r="K14" s="61"/>
      <c r="L14" s="22">
        <v>169.9</v>
      </c>
      <c r="M14" s="22">
        <v>376</v>
      </c>
      <c r="N14" s="59" t="s">
        <v>75</v>
      </c>
      <c r="O14" s="59"/>
      <c r="P14" s="59"/>
    </row>
    <row r="15" spans="1:16" s="27" customFormat="1" ht="68" x14ac:dyDescent="0.2">
      <c r="A15" s="62">
        <f t="shared" si="0"/>
        <v>43313</v>
      </c>
      <c r="B15" s="42">
        <f t="shared" si="3"/>
        <v>11</v>
      </c>
      <c r="C15" s="25" t="s">
        <v>12</v>
      </c>
      <c r="D15" s="25"/>
      <c r="E15" s="43" t="s">
        <v>16</v>
      </c>
      <c r="F15" s="44" t="s">
        <v>12</v>
      </c>
      <c r="G15" s="25"/>
      <c r="H15" s="45" t="s">
        <v>16</v>
      </c>
      <c r="I15" s="25">
        <v>0</v>
      </c>
      <c r="J15" s="25"/>
      <c r="K15" s="25">
        <v>78.400000000000006</v>
      </c>
      <c r="L15" s="46"/>
      <c r="M15" s="46"/>
      <c r="N15" s="9"/>
      <c r="O15" s="9"/>
      <c r="P15" s="9" t="s">
        <v>123</v>
      </c>
    </row>
    <row r="16" spans="1:16" s="268" customFormat="1" ht="17" x14ac:dyDescent="0.2">
      <c r="A16" s="260">
        <f t="shared" si="0"/>
        <v>43314</v>
      </c>
      <c r="B16" s="261">
        <f t="shared" si="3"/>
        <v>12</v>
      </c>
      <c r="C16" s="262">
        <v>0</v>
      </c>
      <c r="D16" s="262">
        <f>G14</f>
        <v>7692</v>
      </c>
      <c r="E16" s="263" t="str">
        <f>H14</f>
        <v>Muir Trail Ranch</v>
      </c>
      <c r="F16" s="264">
        <v>0.9</v>
      </c>
      <c r="G16" s="262">
        <v>8420</v>
      </c>
      <c r="H16" s="265" t="str">
        <f>E14</f>
        <v>Muir Trail Ranch Trail</v>
      </c>
      <c r="I16" s="262">
        <f>F16-C16</f>
        <v>0.9</v>
      </c>
      <c r="J16" s="262">
        <f>J14+I16</f>
        <v>79.300000000000011</v>
      </c>
      <c r="K16" s="262"/>
      <c r="L16" s="266">
        <v>772.3</v>
      </c>
      <c r="M16" s="266">
        <v>1</v>
      </c>
      <c r="N16" s="267"/>
      <c r="O16" s="267"/>
      <c r="P16" s="267"/>
    </row>
    <row r="17" spans="1:16" s="37" customFormat="1" ht="51" x14ac:dyDescent="0.2">
      <c r="A17" s="16">
        <f t="shared" si="0"/>
        <v>43314</v>
      </c>
      <c r="B17" s="33">
        <f>B16</f>
        <v>12</v>
      </c>
      <c r="C17" s="34">
        <v>102.5</v>
      </c>
      <c r="D17" s="34">
        <f t="shared" ref="D17:E20" si="7">G16</f>
        <v>8420</v>
      </c>
      <c r="E17" s="35" t="str">
        <f t="shared" si="7"/>
        <v>Muir Trail Ranch Trail</v>
      </c>
      <c r="F17" s="36">
        <v>107.3</v>
      </c>
      <c r="G17" s="34">
        <v>10210</v>
      </c>
      <c r="H17" s="38" t="s">
        <v>17</v>
      </c>
      <c r="I17" s="34">
        <f>F17-C17</f>
        <v>4.7999999999999972</v>
      </c>
      <c r="J17" s="34">
        <f>J16+I17</f>
        <v>84.100000000000009</v>
      </c>
      <c r="K17" s="34"/>
      <c r="L17" s="22">
        <v>1944.6</v>
      </c>
      <c r="M17" s="22">
        <v>195.5</v>
      </c>
      <c r="N17" s="63" t="s">
        <v>78</v>
      </c>
      <c r="O17" s="63" t="s">
        <v>79</v>
      </c>
      <c r="P17" s="63" t="s">
        <v>77</v>
      </c>
    </row>
    <row r="18" spans="1:16" s="13" customFormat="1" ht="34" x14ac:dyDescent="0.2">
      <c r="A18" s="24">
        <f t="shared" si="0"/>
        <v>43315</v>
      </c>
      <c r="B18" s="28">
        <f t="shared" si="3"/>
        <v>13</v>
      </c>
      <c r="C18" s="29">
        <f>F17</f>
        <v>107.3</v>
      </c>
      <c r="D18" s="29">
        <f t="shared" si="7"/>
        <v>10210</v>
      </c>
      <c r="E18" s="30" t="str">
        <f t="shared" si="7"/>
        <v>Tent Site (Sallie Keyes Lakes)</v>
      </c>
      <c r="F18" s="31">
        <v>116.1</v>
      </c>
      <c r="G18" s="29">
        <v>9004</v>
      </c>
      <c r="H18" s="39" t="s">
        <v>18</v>
      </c>
      <c r="I18" s="29">
        <f>F18-C18</f>
        <v>8.7999999999999972</v>
      </c>
      <c r="J18" s="29">
        <f>J17+I18</f>
        <v>92.9</v>
      </c>
      <c r="K18" s="29"/>
      <c r="L18" s="26">
        <v>805.8</v>
      </c>
      <c r="M18" s="26">
        <v>2010.8</v>
      </c>
      <c r="N18" s="64" t="s">
        <v>38</v>
      </c>
      <c r="O18" s="64" t="s">
        <v>31</v>
      </c>
      <c r="P18" s="64" t="s">
        <v>80</v>
      </c>
    </row>
    <row r="19" spans="1:16" s="37" customFormat="1" ht="68" x14ac:dyDescent="0.2">
      <c r="A19" s="16">
        <f t="shared" si="0"/>
        <v>43316</v>
      </c>
      <c r="B19" s="33">
        <f t="shared" si="3"/>
        <v>14</v>
      </c>
      <c r="C19" s="34">
        <f>F18</f>
        <v>116.1</v>
      </c>
      <c r="D19" s="34">
        <f t="shared" si="7"/>
        <v>9004</v>
      </c>
      <c r="E19" s="35" t="str">
        <f t="shared" si="7"/>
        <v>Tent Site (Bear Creek, Bear Ridge)</v>
      </c>
      <c r="F19" s="36">
        <v>122.4</v>
      </c>
      <c r="G19" s="34">
        <v>7899</v>
      </c>
      <c r="H19" s="65" t="s">
        <v>85</v>
      </c>
      <c r="I19" s="34">
        <f>F19-C19</f>
        <v>6.3000000000000114</v>
      </c>
      <c r="J19" s="34">
        <f>J18+I19</f>
        <v>99.200000000000017</v>
      </c>
      <c r="K19" s="34"/>
      <c r="L19" s="22">
        <v>1024.3</v>
      </c>
      <c r="M19" s="22">
        <v>2136.1999999999998</v>
      </c>
      <c r="N19" s="63" t="s">
        <v>82</v>
      </c>
      <c r="O19" s="63" t="s">
        <v>81</v>
      </c>
      <c r="P19" s="12"/>
    </row>
    <row r="20" spans="1:16" s="37" customFormat="1" ht="136" x14ac:dyDescent="0.2">
      <c r="A20" s="16">
        <f t="shared" si="0"/>
        <v>43316</v>
      </c>
      <c r="B20" s="33">
        <f>B19</f>
        <v>14</v>
      </c>
      <c r="C20" s="34">
        <v>0</v>
      </c>
      <c r="D20" s="34">
        <f t="shared" si="7"/>
        <v>7899</v>
      </c>
      <c r="E20" s="35" t="str">
        <f t="shared" si="7"/>
        <v>VVR Trail</v>
      </c>
      <c r="F20" s="36">
        <v>1.4</v>
      </c>
      <c r="G20" s="34">
        <v>7651</v>
      </c>
      <c r="H20" s="65" t="s">
        <v>32</v>
      </c>
      <c r="I20" s="34">
        <f>F20-C20</f>
        <v>1.4</v>
      </c>
      <c r="J20" s="34">
        <f>J19+I20</f>
        <v>100.60000000000002</v>
      </c>
      <c r="K20" s="34"/>
      <c r="L20" s="22">
        <v>100.7</v>
      </c>
      <c r="M20" s="22">
        <v>334.6</v>
      </c>
      <c r="N20" s="63" t="s">
        <v>84</v>
      </c>
      <c r="O20" s="63" t="s">
        <v>83</v>
      </c>
      <c r="P20" s="84" t="s">
        <v>124</v>
      </c>
    </row>
    <row r="21" spans="1:16" s="27" customFormat="1" ht="68" x14ac:dyDescent="0.2">
      <c r="A21" s="62">
        <f t="shared" si="0"/>
        <v>43317</v>
      </c>
      <c r="B21" s="42">
        <f t="shared" si="3"/>
        <v>15</v>
      </c>
      <c r="C21" s="25" t="s">
        <v>12</v>
      </c>
      <c r="D21" s="25"/>
      <c r="E21" s="43" t="s">
        <v>33</v>
      </c>
      <c r="F21" s="44" t="s">
        <v>12</v>
      </c>
      <c r="G21" s="25"/>
      <c r="H21" s="45" t="s">
        <v>33</v>
      </c>
      <c r="I21" s="25"/>
      <c r="J21" s="25"/>
      <c r="K21" s="25">
        <f>J20-J14</f>
        <v>22.200000000000017</v>
      </c>
      <c r="L21" s="46"/>
      <c r="M21" s="46"/>
      <c r="N21" s="9"/>
      <c r="O21" s="9"/>
      <c r="P21" s="9" t="s">
        <v>124</v>
      </c>
    </row>
    <row r="22" spans="1:16" s="23" customFormat="1" ht="51" x14ac:dyDescent="0.2">
      <c r="A22" s="67">
        <f t="shared" si="0"/>
        <v>43318</v>
      </c>
      <c r="B22" s="17">
        <f>B21+1</f>
        <v>16</v>
      </c>
      <c r="C22" s="18" t="s">
        <v>12</v>
      </c>
      <c r="D22" s="18"/>
      <c r="E22" s="19" t="s">
        <v>33</v>
      </c>
      <c r="F22" s="20" t="s">
        <v>12</v>
      </c>
      <c r="G22" s="18"/>
      <c r="H22" s="21" t="s">
        <v>33</v>
      </c>
      <c r="I22" s="18"/>
      <c r="J22" s="18"/>
      <c r="K22" s="18"/>
      <c r="L22" s="47"/>
      <c r="M22" s="47"/>
      <c r="N22" s="8"/>
      <c r="O22" s="8"/>
      <c r="P22" s="8" t="s">
        <v>121</v>
      </c>
    </row>
    <row r="23" spans="1:16" s="13" customFormat="1" ht="17" x14ac:dyDescent="0.2">
      <c r="A23" s="24">
        <f t="shared" si="0"/>
        <v>43319</v>
      </c>
      <c r="B23" s="28">
        <f>B22+1</f>
        <v>17</v>
      </c>
      <c r="C23" s="29">
        <v>0</v>
      </c>
      <c r="D23" s="29">
        <f>G20</f>
        <v>7651</v>
      </c>
      <c r="E23" s="30" t="str">
        <f>H20</f>
        <v>VVR Ferry</v>
      </c>
      <c r="F23" s="31">
        <v>1.4</v>
      </c>
      <c r="G23" s="29">
        <f>D20</f>
        <v>7899</v>
      </c>
      <c r="H23" s="79" t="str">
        <f>E20</f>
        <v>VVR Trail</v>
      </c>
      <c r="I23" s="29">
        <f t="shared" ref="I23:I28" si="8">F23-C23</f>
        <v>1.4</v>
      </c>
      <c r="J23" s="29">
        <f>J20+I23</f>
        <v>102.00000000000003</v>
      </c>
      <c r="K23" s="29"/>
      <c r="L23" s="26">
        <v>100.7</v>
      </c>
      <c r="M23" s="26">
        <v>334.6</v>
      </c>
      <c r="N23" s="53"/>
      <c r="O23" s="53"/>
      <c r="P23" s="10"/>
    </row>
    <row r="24" spans="1:16" s="13" customFormat="1" ht="51" x14ac:dyDescent="0.2">
      <c r="A24" s="24">
        <f t="shared" si="0"/>
        <v>43319</v>
      </c>
      <c r="B24" s="28">
        <f>B23</f>
        <v>17</v>
      </c>
      <c r="C24" s="29">
        <f>F19</f>
        <v>122.4</v>
      </c>
      <c r="D24" s="29">
        <f>G19</f>
        <v>7899</v>
      </c>
      <c r="E24" s="30" t="str">
        <f>H19</f>
        <v>VVR Trail</v>
      </c>
      <c r="F24" s="31">
        <v>128.19999999999999</v>
      </c>
      <c r="G24" s="29">
        <v>10430</v>
      </c>
      <c r="H24" s="66" t="s">
        <v>34</v>
      </c>
      <c r="I24" s="29">
        <f t="shared" si="8"/>
        <v>5.7999999999999829</v>
      </c>
      <c r="J24" s="29">
        <f>J23+I24</f>
        <v>107.80000000000001</v>
      </c>
      <c r="K24" s="29"/>
      <c r="L24" s="26">
        <v>2690</v>
      </c>
      <c r="M24" s="26">
        <v>52.5</v>
      </c>
      <c r="N24" s="64" t="s">
        <v>87</v>
      </c>
      <c r="O24" s="10" t="s">
        <v>35</v>
      </c>
      <c r="P24" s="64" t="s">
        <v>86</v>
      </c>
    </row>
    <row r="25" spans="1:16" s="37" customFormat="1" ht="34" x14ac:dyDescent="0.2">
      <c r="A25" s="16">
        <f t="shared" si="0"/>
        <v>43320</v>
      </c>
      <c r="B25" s="33">
        <f t="shared" si="3"/>
        <v>18</v>
      </c>
      <c r="C25" s="34">
        <f t="shared" ref="C25:E27" si="9">F24</f>
        <v>128.19999999999999</v>
      </c>
      <c r="D25" s="34">
        <f t="shared" si="9"/>
        <v>10430</v>
      </c>
      <c r="E25" s="35" t="str">
        <f t="shared" si="9"/>
        <v>Silver Pass Lake</v>
      </c>
      <c r="F25" s="36">
        <v>136.30000000000001</v>
      </c>
      <c r="G25" s="34">
        <v>10407</v>
      </c>
      <c r="H25" s="65" t="s">
        <v>19</v>
      </c>
      <c r="I25" s="34">
        <f t="shared" si="8"/>
        <v>8.1000000000000227</v>
      </c>
      <c r="J25" s="34">
        <f>J24+I25</f>
        <v>115.90000000000003</v>
      </c>
      <c r="K25" s="34"/>
      <c r="L25" s="22">
        <v>1728</v>
      </c>
      <c r="M25" s="22">
        <v>1874</v>
      </c>
      <c r="N25" s="55"/>
      <c r="O25" s="12" t="s">
        <v>36</v>
      </c>
      <c r="P25" s="63" t="s">
        <v>88</v>
      </c>
    </row>
    <row r="26" spans="1:16" s="13" customFormat="1" ht="34" x14ac:dyDescent="0.2">
      <c r="A26" s="24">
        <f t="shared" si="0"/>
        <v>43321</v>
      </c>
      <c r="B26" s="28">
        <f t="shared" si="3"/>
        <v>19</v>
      </c>
      <c r="C26" s="29">
        <f t="shared" si="9"/>
        <v>136.30000000000001</v>
      </c>
      <c r="D26" s="29">
        <f t="shared" si="9"/>
        <v>10407</v>
      </c>
      <c r="E26" s="30" t="str">
        <f t="shared" si="9"/>
        <v>Tent Site (Lake Virginia)</v>
      </c>
      <c r="F26" s="31">
        <v>147.4</v>
      </c>
      <c r="G26" s="29">
        <v>8939</v>
      </c>
      <c r="H26" s="66" t="s">
        <v>20</v>
      </c>
      <c r="I26" s="29">
        <f t="shared" si="8"/>
        <v>11.099999999999994</v>
      </c>
      <c r="J26" s="29">
        <f>J25+I26</f>
        <v>127.00000000000003</v>
      </c>
      <c r="K26" s="29"/>
      <c r="L26" s="26">
        <v>1190</v>
      </c>
      <c r="M26" s="26">
        <v>2632.5</v>
      </c>
      <c r="N26" s="40" t="s">
        <v>39</v>
      </c>
      <c r="O26" s="64" t="s">
        <v>89</v>
      </c>
      <c r="P26" s="64" t="s">
        <v>90</v>
      </c>
    </row>
    <row r="27" spans="1:16" s="37" customFormat="1" ht="17" x14ac:dyDescent="0.2">
      <c r="A27" s="16">
        <f t="shared" si="0"/>
        <v>43322</v>
      </c>
      <c r="B27" s="33">
        <f t="shared" si="3"/>
        <v>20</v>
      </c>
      <c r="C27" s="34">
        <f t="shared" si="9"/>
        <v>147.4</v>
      </c>
      <c r="D27" s="34">
        <f t="shared" si="9"/>
        <v>8939</v>
      </c>
      <c r="E27" s="35" t="str">
        <f t="shared" si="9"/>
        <v>Tent Site (Upper Crater Meadow)</v>
      </c>
      <c r="F27" s="36">
        <v>151.1</v>
      </c>
      <c r="G27" s="34">
        <v>7722</v>
      </c>
      <c r="H27" s="63" t="s">
        <v>92</v>
      </c>
      <c r="I27" s="34">
        <f t="shared" si="8"/>
        <v>3.6999999999999886</v>
      </c>
      <c r="J27" s="34">
        <f>J26+I27</f>
        <v>130.70000000000002</v>
      </c>
      <c r="K27" s="34"/>
      <c r="L27" s="22">
        <v>22.3</v>
      </c>
      <c r="M27" s="22">
        <v>1251.5999999999999</v>
      </c>
      <c r="N27" s="41" t="s">
        <v>37</v>
      </c>
      <c r="O27" s="12" t="s">
        <v>21</v>
      </c>
      <c r="P27" s="12"/>
    </row>
    <row r="28" spans="1:16" s="37" customFormat="1" ht="68" x14ac:dyDescent="0.2">
      <c r="A28" s="16">
        <f t="shared" si="0"/>
        <v>43322</v>
      </c>
      <c r="B28" s="33">
        <f>B27</f>
        <v>20</v>
      </c>
      <c r="C28" s="34">
        <v>0</v>
      </c>
      <c r="D28" s="34">
        <f>G27</f>
        <v>7722</v>
      </c>
      <c r="E28" s="35" t="str">
        <f>H27</f>
        <v>Red's Meadow JCT</v>
      </c>
      <c r="F28" s="36">
        <v>0.4</v>
      </c>
      <c r="G28" s="34">
        <v>7705</v>
      </c>
      <c r="H28" s="12" t="s">
        <v>22</v>
      </c>
      <c r="I28" s="34">
        <f t="shared" si="8"/>
        <v>0.4</v>
      </c>
      <c r="J28" s="34">
        <f>J27+I28</f>
        <v>131.10000000000002</v>
      </c>
      <c r="K28" s="34"/>
      <c r="L28" s="22"/>
      <c r="M28" s="22"/>
      <c r="N28" s="55"/>
      <c r="O28" s="55"/>
      <c r="P28" s="80" t="s">
        <v>118</v>
      </c>
    </row>
    <row r="29" spans="1:16" s="27" customFormat="1" ht="68" x14ac:dyDescent="0.2">
      <c r="A29" s="62">
        <f t="shared" si="0"/>
        <v>43323</v>
      </c>
      <c r="B29" s="42">
        <f t="shared" si="3"/>
        <v>21</v>
      </c>
      <c r="C29" s="25" t="s">
        <v>12</v>
      </c>
      <c r="D29" s="25"/>
      <c r="E29" s="43" t="s">
        <v>23</v>
      </c>
      <c r="F29" s="44" t="s">
        <v>12</v>
      </c>
      <c r="G29" s="46"/>
      <c r="H29" s="45" t="s">
        <v>23</v>
      </c>
      <c r="I29" s="25">
        <v>0</v>
      </c>
      <c r="J29" s="25"/>
      <c r="K29" s="25">
        <f>J28-J20</f>
        <v>30.5</v>
      </c>
      <c r="L29" s="46"/>
      <c r="M29" s="46"/>
      <c r="N29" s="9"/>
      <c r="O29" s="9"/>
      <c r="P29" s="9" t="s">
        <v>125</v>
      </c>
    </row>
    <row r="30" spans="1:16" s="23" customFormat="1" ht="68" x14ac:dyDescent="0.2">
      <c r="A30" s="67">
        <f t="shared" si="0"/>
        <v>43324</v>
      </c>
      <c r="B30" s="17">
        <f t="shared" si="3"/>
        <v>22</v>
      </c>
      <c r="C30" s="18" t="s">
        <v>12</v>
      </c>
      <c r="D30" s="18"/>
      <c r="E30" s="19" t="s">
        <v>23</v>
      </c>
      <c r="F30" s="20" t="s">
        <v>12</v>
      </c>
      <c r="G30" s="47"/>
      <c r="H30" s="21" t="s">
        <v>23</v>
      </c>
      <c r="I30" s="18">
        <v>0</v>
      </c>
      <c r="J30" s="18"/>
      <c r="K30" s="18"/>
      <c r="L30" s="47"/>
      <c r="M30" s="47"/>
      <c r="N30" s="8"/>
      <c r="O30" s="8"/>
      <c r="P30" s="8" t="s">
        <v>125</v>
      </c>
    </row>
    <row r="31" spans="1:16" s="13" customFormat="1" ht="34" x14ac:dyDescent="0.2">
      <c r="A31" s="24">
        <f t="shared" si="0"/>
        <v>43325</v>
      </c>
      <c r="B31" s="28">
        <f t="shared" si="3"/>
        <v>23</v>
      </c>
      <c r="C31" s="29">
        <v>0</v>
      </c>
      <c r="D31" s="29">
        <f>G28</f>
        <v>7705</v>
      </c>
      <c r="E31" s="30" t="s">
        <v>22</v>
      </c>
      <c r="F31" s="31">
        <v>0.4</v>
      </c>
      <c r="G31" s="29">
        <v>7653</v>
      </c>
      <c r="H31" s="66" t="s">
        <v>91</v>
      </c>
      <c r="I31" s="29">
        <f t="shared" ref="I31:I40" si="10">F31-C31</f>
        <v>0.4</v>
      </c>
      <c r="J31" s="29">
        <f>J28+I31</f>
        <v>131.50000000000003</v>
      </c>
      <c r="K31" s="29"/>
      <c r="L31" s="26">
        <v>7.2</v>
      </c>
      <c r="M31" s="26">
        <v>44.3</v>
      </c>
      <c r="N31" s="53"/>
      <c r="O31" s="53"/>
      <c r="P31" s="10"/>
    </row>
    <row r="32" spans="1:16" s="13" customFormat="1" ht="51" x14ac:dyDescent="0.2">
      <c r="A32" s="24">
        <f t="shared" si="0"/>
        <v>43325</v>
      </c>
      <c r="B32" s="28">
        <f>B31</f>
        <v>23</v>
      </c>
      <c r="C32" s="29">
        <v>151.19999999999999</v>
      </c>
      <c r="D32" s="29">
        <f t="shared" ref="D32:E34" si="11">G31</f>
        <v>7653</v>
      </c>
      <c r="E32" s="30" t="str">
        <f t="shared" si="11"/>
        <v>Red's Meadow JCT</v>
      </c>
      <c r="F32" s="31">
        <v>161</v>
      </c>
      <c r="G32" s="29">
        <v>8763</v>
      </c>
      <c r="H32" s="66" t="s">
        <v>24</v>
      </c>
      <c r="I32" s="29">
        <f t="shared" si="10"/>
        <v>9.8000000000000114</v>
      </c>
      <c r="J32" s="29">
        <f t="shared" ref="J32:J40" si="12">J31+I32</f>
        <v>141.30000000000004</v>
      </c>
      <c r="K32" s="29"/>
      <c r="L32" s="26">
        <v>2524.3000000000002</v>
      </c>
      <c r="M32" s="26">
        <v>1376.3</v>
      </c>
      <c r="N32" s="64" t="s">
        <v>40</v>
      </c>
      <c r="O32" s="64" t="s">
        <v>93</v>
      </c>
      <c r="P32" s="64" t="s">
        <v>94</v>
      </c>
    </row>
    <row r="33" spans="1:16" s="37" customFormat="1" ht="51" x14ac:dyDescent="0.2">
      <c r="A33" s="16">
        <f t="shared" si="0"/>
        <v>43326</v>
      </c>
      <c r="B33" s="33">
        <f t="shared" si="3"/>
        <v>24</v>
      </c>
      <c r="C33" s="34">
        <f>F32</f>
        <v>161</v>
      </c>
      <c r="D33" s="34">
        <f t="shared" si="11"/>
        <v>8763</v>
      </c>
      <c r="E33" s="35" t="str">
        <f t="shared" si="11"/>
        <v>Tent Site (Shadow Lake)</v>
      </c>
      <c r="F33" s="36">
        <v>170.7</v>
      </c>
      <c r="G33" s="34">
        <v>9685</v>
      </c>
      <c r="H33" s="65" t="s">
        <v>95</v>
      </c>
      <c r="I33" s="34">
        <f t="shared" si="10"/>
        <v>9.6999999999999886</v>
      </c>
      <c r="J33" s="34">
        <f t="shared" si="12"/>
        <v>151.00000000000003</v>
      </c>
      <c r="K33" s="34"/>
      <c r="L33" s="22">
        <v>2419.3000000000002</v>
      </c>
      <c r="M33" s="22">
        <v>1517.1</v>
      </c>
      <c r="N33" s="63" t="s">
        <v>98</v>
      </c>
      <c r="O33" s="63" t="s">
        <v>96</v>
      </c>
      <c r="P33" s="63" t="s">
        <v>97</v>
      </c>
    </row>
    <row r="34" spans="1:16" s="13" customFormat="1" ht="34" x14ac:dyDescent="0.2">
      <c r="A34" s="24">
        <f t="shared" si="0"/>
        <v>43327</v>
      </c>
      <c r="B34" s="28">
        <f t="shared" si="3"/>
        <v>25</v>
      </c>
      <c r="C34" s="29">
        <f>F33</f>
        <v>170.7</v>
      </c>
      <c r="D34" s="29">
        <f t="shared" si="11"/>
        <v>9685</v>
      </c>
      <c r="E34" s="30" t="str">
        <f t="shared" si="11"/>
        <v>Tent Site (past Davis Lake Trail)</v>
      </c>
      <c r="F34" s="31">
        <v>181</v>
      </c>
      <c r="G34" s="29">
        <v>8889</v>
      </c>
      <c r="H34" s="66" t="s">
        <v>99</v>
      </c>
      <c r="I34" s="29">
        <f t="shared" si="10"/>
        <v>10.300000000000011</v>
      </c>
      <c r="J34" s="29">
        <f t="shared" si="12"/>
        <v>161.30000000000004</v>
      </c>
      <c r="K34" s="29"/>
      <c r="L34" s="26">
        <v>1578.1</v>
      </c>
      <c r="M34" s="26">
        <v>2365.1999999999998</v>
      </c>
      <c r="N34" s="64" t="s">
        <v>100</v>
      </c>
      <c r="O34" s="64" t="s">
        <v>101</v>
      </c>
      <c r="P34" s="81" t="s">
        <v>119</v>
      </c>
    </row>
    <row r="35" spans="1:16" s="37" customFormat="1" ht="51" x14ac:dyDescent="0.2">
      <c r="A35" s="16">
        <f t="shared" si="0"/>
        <v>43328</v>
      </c>
      <c r="B35" s="33">
        <f t="shared" si="3"/>
        <v>26</v>
      </c>
      <c r="C35" s="34">
        <f>F34</f>
        <v>181</v>
      </c>
      <c r="D35" s="34">
        <f t="shared" ref="D35:E40" si="13">G34</f>
        <v>8889</v>
      </c>
      <c r="E35" s="35" t="str">
        <f t="shared" si="13"/>
        <v>Vogelsang Trail JCT (Tent Sites)</v>
      </c>
      <c r="F35" s="36">
        <v>187.4</v>
      </c>
      <c r="G35" s="34">
        <v>8599</v>
      </c>
      <c r="H35" s="69" t="s">
        <v>25</v>
      </c>
      <c r="I35" s="34">
        <f t="shared" si="10"/>
        <v>6.4000000000000057</v>
      </c>
      <c r="J35" s="34">
        <f t="shared" si="12"/>
        <v>167.70000000000005</v>
      </c>
      <c r="K35" s="34"/>
      <c r="L35" s="22">
        <v>145.30000000000001</v>
      </c>
      <c r="M35" s="22">
        <v>429.1</v>
      </c>
      <c r="N35" s="68" t="s">
        <v>41</v>
      </c>
      <c r="O35" s="68" t="s">
        <v>103</v>
      </c>
      <c r="P35" s="12"/>
    </row>
    <row r="36" spans="1:16" s="78" customFormat="1" ht="68" x14ac:dyDescent="0.2">
      <c r="A36" s="82">
        <f t="shared" si="0"/>
        <v>43328</v>
      </c>
      <c r="B36" s="83">
        <f>B35</f>
        <v>26</v>
      </c>
      <c r="C36" s="72">
        <v>0</v>
      </c>
      <c r="D36" s="72">
        <f t="shared" si="13"/>
        <v>8599</v>
      </c>
      <c r="E36" s="73" t="str">
        <f t="shared" si="13"/>
        <v>Highway 120 (Tuolumne Meadows)</v>
      </c>
      <c r="F36" s="74">
        <v>0.3</v>
      </c>
      <c r="G36" s="72">
        <v>8583</v>
      </c>
      <c r="H36" s="75" t="s">
        <v>104</v>
      </c>
      <c r="I36" s="72">
        <f t="shared" si="10"/>
        <v>0.3</v>
      </c>
      <c r="J36" s="72">
        <f t="shared" si="12"/>
        <v>168.00000000000006</v>
      </c>
      <c r="K36" s="72">
        <f>J36-J28</f>
        <v>36.900000000000034</v>
      </c>
      <c r="L36" s="76">
        <v>0</v>
      </c>
      <c r="M36" s="76">
        <v>22.3</v>
      </c>
      <c r="N36" s="77"/>
      <c r="O36" s="77" t="s">
        <v>106</v>
      </c>
      <c r="P36" s="77" t="s">
        <v>105</v>
      </c>
    </row>
    <row r="37" spans="1:16" s="13" customFormat="1" ht="34" x14ac:dyDescent="0.2">
      <c r="A37" s="24">
        <f t="shared" si="0"/>
        <v>43329</v>
      </c>
      <c r="B37" s="28">
        <f t="shared" si="3"/>
        <v>27</v>
      </c>
      <c r="C37" s="29">
        <v>0</v>
      </c>
      <c r="D37" s="29">
        <f t="shared" si="13"/>
        <v>8583</v>
      </c>
      <c r="E37" s="30" t="str">
        <f t="shared" si="13"/>
        <v>Backpacker Campground &amp; Tuolumne Meadows Store</v>
      </c>
      <c r="F37" s="31">
        <v>0.3</v>
      </c>
      <c r="G37" s="29">
        <f>D36</f>
        <v>8599</v>
      </c>
      <c r="H37" s="79" t="str">
        <f>E36</f>
        <v>Highway 120 (Tuolumne Meadows)</v>
      </c>
      <c r="I37" s="29">
        <f t="shared" si="10"/>
        <v>0.3</v>
      </c>
      <c r="J37" s="29">
        <f t="shared" si="12"/>
        <v>168.30000000000007</v>
      </c>
      <c r="K37" s="29"/>
      <c r="L37" s="26">
        <v>22.3</v>
      </c>
      <c r="M37" s="26">
        <v>0</v>
      </c>
      <c r="N37" s="53"/>
      <c r="O37" s="53"/>
      <c r="P37" s="10"/>
    </row>
    <row r="38" spans="1:16" s="13" customFormat="1" ht="51" x14ac:dyDescent="0.2">
      <c r="A38" s="24">
        <f t="shared" si="0"/>
        <v>43329</v>
      </c>
      <c r="B38" s="28">
        <f>B37</f>
        <v>27</v>
      </c>
      <c r="C38" s="29">
        <f>F35</f>
        <v>187.4</v>
      </c>
      <c r="D38" s="29">
        <f t="shared" si="13"/>
        <v>8599</v>
      </c>
      <c r="E38" s="30" t="str">
        <f t="shared" si="13"/>
        <v>Highway 120 (Tuolumne Meadows)</v>
      </c>
      <c r="F38" s="31">
        <v>197.1</v>
      </c>
      <c r="G38" s="29">
        <v>9321</v>
      </c>
      <c r="H38" s="70" t="s">
        <v>26</v>
      </c>
      <c r="I38" s="29">
        <f t="shared" si="10"/>
        <v>9.6999999999999886</v>
      </c>
      <c r="J38" s="29">
        <f t="shared" si="12"/>
        <v>178.00000000000006</v>
      </c>
      <c r="K38" s="29"/>
      <c r="L38" s="26">
        <v>1745.1</v>
      </c>
      <c r="M38" s="26">
        <v>1029.5</v>
      </c>
      <c r="N38" s="71" t="s">
        <v>108</v>
      </c>
      <c r="O38" s="71" t="s">
        <v>107</v>
      </c>
      <c r="P38" s="81" t="s">
        <v>120</v>
      </c>
    </row>
    <row r="39" spans="1:16" s="37" customFormat="1" ht="51" x14ac:dyDescent="0.2">
      <c r="A39" s="16">
        <f t="shared" si="0"/>
        <v>43330</v>
      </c>
      <c r="B39" s="33">
        <f t="shared" si="3"/>
        <v>28</v>
      </c>
      <c r="C39" s="34">
        <f>F38</f>
        <v>197.1</v>
      </c>
      <c r="D39" s="34">
        <f t="shared" si="13"/>
        <v>9321</v>
      </c>
      <c r="E39" s="35" t="str">
        <f t="shared" si="13"/>
        <v>Tent Site (Sunrise High Sierra Camp)</v>
      </c>
      <c r="F39" s="36">
        <v>205.9</v>
      </c>
      <c r="G39" s="34">
        <v>6122</v>
      </c>
      <c r="H39" s="69" t="s">
        <v>109</v>
      </c>
      <c r="I39" s="34">
        <f t="shared" si="10"/>
        <v>8.8000000000000114</v>
      </c>
      <c r="J39" s="34">
        <f t="shared" si="12"/>
        <v>186.80000000000007</v>
      </c>
      <c r="K39" s="34"/>
      <c r="L39" s="22">
        <v>447.5</v>
      </c>
      <c r="M39" s="22">
        <v>3641.4</v>
      </c>
      <c r="N39" s="68" t="s">
        <v>110</v>
      </c>
      <c r="O39" s="68" t="s">
        <v>114</v>
      </c>
      <c r="P39" s="68" t="s">
        <v>111</v>
      </c>
    </row>
    <row r="40" spans="1:16" s="13" customFormat="1" ht="68" x14ac:dyDescent="0.2">
      <c r="A40" s="24">
        <f t="shared" si="0"/>
        <v>43331</v>
      </c>
      <c r="B40" s="28">
        <f t="shared" si="3"/>
        <v>29</v>
      </c>
      <c r="C40" s="29">
        <f>F39</f>
        <v>205.9</v>
      </c>
      <c r="D40" s="29">
        <f t="shared" si="13"/>
        <v>6122</v>
      </c>
      <c r="E40" s="30" t="str">
        <f t="shared" si="13"/>
        <v>Little Yosemite Valley Camp</v>
      </c>
      <c r="F40" s="31">
        <v>210.4</v>
      </c>
      <c r="G40" s="29">
        <v>4067</v>
      </c>
      <c r="H40" s="10" t="s">
        <v>27</v>
      </c>
      <c r="I40" s="29">
        <f t="shared" si="10"/>
        <v>4.5</v>
      </c>
      <c r="J40" s="29">
        <f t="shared" si="12"/>
        <v>191.30000000000007</v>
      </c>
      <c r="K40" s="29"/>
      <c r="L40" s="26">
        <v>319.60000000000002</v>
      </c>
      <c r="M40" s="26">
        <v>2376.3000000000002</v>
      </c>
      <c r="N40" s="71" t="s">
        <v>112</v>
      </c>
      <c r="O40" s="71" t="s">
        <v>113</v>
      </c>
      <c r="P40" s="10"/>
    </row>
    <row r="41" spans="1:16" s="37" customFormat="1" x14ac:dyDescent="0.2">
      <c r="A41" s="16"/>
      <c r="B41" s="33"/>
      <c r="C41" s="34"/>
      <c r="D41" s="34"/>
      <c r="E41" s="35"/>
      <c r="F41" s="36"/>
      <c r="G41" s="34"/>
      <c r="H41" s="54"/>
      <c r="I41" s="34"/>
      <c r="J41" s="34"/>
      <c r="K41" s="34"/>
      <c r="L41" s="22"/>
      <c r="M41" s="22"/>
      <c r="N41" s="55"/>
      <c r="O41" s="55"/>
      <c r="P41" s="12"/>
    </row>
    <row r="42" spans="1:16" x14ac:dyDescent="0.2">
      <c r="A42" s="172" t="s">
        <v>751</v>
      </c>
    </row>
  </sheetData>
  <mergeCells count="1">
    <mergeCell ref="A1:P1"/>
  </mergeCells>
  <phoneticPr fontId="12" type="noConversion"/>
  <printOptions horizontalCentered="1" gridLines="1"/>
  <pageMargins left="0.25" right="0.25" top="0.75" bottom="0.75" header="0.3" footer="0.3"/>
  <pageSetup scale="46" fitToHeight="2" orientation="landscape" horizontalDpi="4294967292" verticalDpi="4294967292"/>
  <headerFooter>
    <oddHeader>&amp;C&amp;"Calibri Bold,Bold"&amp;16&amp;K000000JMT Hike 2018
&amp;"Calibri Italic,Italic"&amp;14Itinerary</oddHeader>
    <oddFooter>&amp;R&amp;"Helvetica,Regular"&amp;K000000Page &amp;P of &amp;N</oddFooter>
  </headerFooter>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9DB75-D9E1-7F42-BC73-E5AC1E6DF9F0}">
  <sheetPr>
    <pageSetUpPr fitToPage="1"/>
  </sheetPr>
  <dimension ref="A1:Z416"/>
  <sheetViews>
    <sheetView zoomScaleNormal="100" zoomScaleSheetLayoutView="100" workbookViewId="0">
      <pane ySplit="4" topLeftCell="A5" activePane="bottomLeft" state="frozen"/>
      <selection pane="bottomLeft" sqref="A1:H1"/>
    </sheetView>
  </sheetViews>
  <sheetFormatPr baseColWidth="10" defaultRowHeight="16" x14ac:dyDescent="0.2"/>
  <cols>
    <col min="1" max="1" width="7.33203125" style="208" bestFit="1" customWidth="1"/>
    <col min="2" max="2" width="8" style="208" customWidth="1"/>
    <col min="3" max="3" width="12.5" style="209" customWidth="1"/>
    <col min="4" max="4" width="15" style="209" customWidth="1"/>
    <col min="5" max="5" width="61.83203125" style="207" customWidth="1"/>
    <col min="6" max="6" width="28.83203125" style="208" bestFit="1" customWidth="1"/>
    <col min="7" max="7" width="16.83203125" style="208" bestFit="1" customWidth="1"/>
    <col min="8" max="8" width="10.6640625" style="208" bestFit="1" customWidth="1"/>
    <col min="9" max="9" width="7" style="206" bestFit="1" customWidth="1"/>
    <col min="10" max="10" width="77.33203125" style="206" bestFit="1" customWidth="1"/>
    <col min="11" max="11" width="18" style="206" bestFit="1" customWidth="1"/>
    <col min="12" max="12" width="8.6640625" style="206" bestFit="1" customWidth="1"/>
    <col min="13" max="13" width="7.5" style="206" bestFit="1" customWidth="1"/>
    <col min="14" max="14" width="11.6640625" style="206" bestFit="1" customWidth="1"/>
    <col min="15" max="15" width="6.5" style="206" bestFit="1" customWidth="1"/>
    <col min="16" max="16" width="4" style="206" bestFit="1" customWidth="1"/>
    <col min="17" max="17" width="3.5" style="206" bestFit="1" customWidth="1"/>
    <col min="18" max="18" width="9.5" style="206" bestFit="1" customWidth="1"/>
    <col min="19" max="19" width="8.5" style="206" bestFit="1" customWidth="1"/>
    <col min="20" max="20" width="4" style="206" bestFit="1" customWidth="1"/>
    <col min="21" max="21" width="6" style="206" bestFit="1" customWidth="1"/>
    <col min="22" max="22" width="5.5" style="206" bestFit="1" customWidth="1"/>
    <col min="23" max="23" width="13.6640625" style="206" bestFit="1" customWidth="1"/>
    <col min="24" max="24" width="10.83203125" style="206" bestFit="1" customWidth="1"/>
    <col min="25" max="25" width="21" style="206" bestFit="1" customWidth="1"/>
    <col min="26" max="16384" width="10.83203125" style="206"/>
  </cols>
  <sheetData>
    <row r="1" spans="1:26" ht="79" customHeight="1" x14ac:dyDescent="0.25">
      <c r="A1" s="450" t="s">
        <v>747</v>
      </c>
      <c r="B1" s="450"/>
      <c r="C1" s="450"/>
      <c r="D1" s="450"/>
      <c r="E1" s="450"/>
      <c r="F1" s="450"/>
      <c r="G1" s="450"/>
      <c r="H1" s="450"/>
      <c r="I1" s="344"/>
      <c r="J1" s="454" t="s">
        <v>529</v>
      </c>
      <c r="K1" s="454"/>
      <c r="L1" s="454"/>
      <c r="M1" s="454"/>
      <c r="N1" s="454"/>
      <c r="O1" s="454"/>
      <c r="P1" s="454"/>
      <c r="Q1" s="454"/>
      <c r="R1" s="454"/>
      <c r="S1" s="454"/>
      <c r="T1" s="454"/>
      <c r="U1" s="454"/>
      <c r="V1" s="454"/>
      <c r="W1" s="454"/>
    </row>
    <row r="2" spans="1:26" s="207" customFormat="1" ht="32" customHeight="1" x14ac:dyDescent="0.2">
      <c r="A2" s="105" t="s">
        <v>508</v>
      </c>
      <c r="B2" s="105" t="s">
        <v>467</v>
      </c>
      <c r="C2" s="105" t="s">
        <v>466</v>
      </c>
      <c r="D2" s="105" t="s">
        <v>227</v>
      </c>
      <c r="E2" s="106" t="s">
        <v>465</v>
      </c>
      <c r="F2" s="105" t="s">
        <v>361</v>
      </c>
      <c r="G2" s="105" t="s">
        <v>360</v>
      </c>
      <c r="H2" s="105" t="s">
        <v>373</v>
      </c>
      <c r="J2" s="455" t="s">
        <v>528</v>
      </c>
      <c r="K2" s="455"/>
      <c r="L2" s="455"/>
      <c r="M2" s="455"/>
      <c r="N2" s="455"/>
      <c r="O2" s="455"/>
      <c r="P2" s="455"/>
      <c r="Q2" s="455"/>
      <c r="R2" s="455"/>
      <c r="S2" s="455"/>
      <c r="T2" s="455"/>
      <c r="U2" s="455"/>
      <c r="V2" s="455"/>
      <c r="W2" s="455"/>
    </row>
    <row r="3" spans="1:26" ht="32" customHeight="1" x14ac:dyDescent="0.25">
      <c r="A3" s="208" t="s">
        <v>509</v>
      </c>
      <c r="B3" s="163">
        <v>0</v>
      </c>
      <c r="C3" s="164" t="s">
        <v>463</v>
      </c>
      <c r="D3" s="164" t="s">
        <v>461</v>
      </c>
      <c r="E3" s="203" t="s">
        <v>495</v>
      </c>
      <c r="F3" s="208" t="str">
        <f>VLOOKUP($E3,'Master Food List'!master_food_list,21,FALSE)</f>
        <v>Starbucks &amp; Hoosier Hill Farm</v>
      </c>
      <c r="G3" s="208" t="str">
        <f>VLOOKUP($E3,'Master Food List'!master_food_list,22,FALSE)</f>
        <v>Amazon</v>
      </c>
      <c r="H3" s="208">
        <f>VLOOKUP($E3,'Master Food List'!master_food_list,4,FALSE)</f>
        <v>0</v>
      </c>
      <c r="J3" s="196" t="s">
        <v>517</v>
      </c>
      <c r="K3" s="196" t="s">
        <v>518</v>
      </c>
      <c r="L3" s="197"/>
      <c r="M3" s="197"/>
      <c r="N3" s="197"/>
      <c r="O3" s="197"/>
      <c r="P3" s="197"/>
      <c r="Q3" s="197"/>
      <c r="R3" s="197"/>
      <c r="S3" s="197"/>
      <c r="T3" s="197"/>
      <c r="U3" s="197"/>
      <c r="V3" s="197"/>
      <c r="W3" s="197"/>
      <c r="X3" s="211"/>
    </row>
    <row r="4" spans="1:26" ht="18" customHeight="1" x14ac:dyDescent="0.2">
      <c r="A4" s="208" t="s">
        <v>509</v>
      </c>
      <c r="B4" s="163">
        <v>0</v>
      </c>
      <c r="C4" s="164" t="s">
        <v>463</v>
      </c>
      <c r="D4" s="164" t="s">
        <v>460</v>
      </c>
      <c r="E4" s="203" t="s">
        <v>445</v>
      </c>
      <c r="F4" s="208" t="str">
        <f>VLOOKUP($E4,'Master Food List'!master_food_list,21,FALSE)</f>
        <v>Alpine Aire</v>
      </c>
      <c r="G4" s="208" t="str">
        <f>VLOOKUP($E4,'Master Food List'!master_food_list,22,FALSE)</f>
        <v>Alpine Aire</v>
      </c>
      <c r="H4" s="208" t="str">
        <f>VLOOKUP($E4,'Master Food List'!master_food_list,4,FALSE)</f>
        <v>Pouch</v>
      </c>
      <c r="J4" s="196" t="s">
        <v>515</v>
      </c>
      <c r="K4" s="192">
        <v>0</v>
      </c>
      <c r="L4" s="192" t="s">
        <v>275</v>
      </c>
      <c r="M4" s="192" t="s">
        <v>312</v>
      </c>
      <c r="N4" s="192" t="s">
        <v>408</v>
      </c>
      <c r="O4" s="192" t="s">
        <v>338</v>
      </c>
      <c r="P4" s="192" t="s">
        <v>415</v>
      </c>
      <c r="Q4" s="192" t="s">
        <v>399</v>
      </c>
      <c r="R4" s="192" t="s">
        <v>324</v>
      </c>
      <c r="S4" s="192" t="s">
        <v>301</v>
      </c>
      <c r="T4" s="192" t="s">
        <v>265</v>
      </c>
      <c r="U4" s="192" t="s">
        <v>250</v>
      </c>
      <c r="V4" s="192" t="s">
        <v>702</v>
      </c>
      <c r="W4" s="192" t="s">
        <v>686</v>
      </c>
      <c r="X4" s="210"/>
      <c r="Y4"/>
      <c r="Z4"/>
    </row>
    <row r="5" spans="1:26" ht="32" customHeight="1" x14ac:dyDescent="0.2">
      <c r="A5" s="208" t="s">
        <v>509</v>
      </c>
      <c r="B5" s="163">
        <v>0</v>
      </c>
      <c r="C5" s="164" t="s">
        <v>463</v>
      </c>
      <c r="D5" s="164" t="s">
        <v>459</v>
      </c>
      <c r="E5" s="203" t="s">
        <v>354</v>
      </c>
      <c r="F5" s="208" t="str">
        <f>VLOOKUP($E5,'Master Food List'!master_food_list,21,FALSE)</f>
        <v>Thrive Life</v>
      </c>
      <c r="G5" s="208" t="str">
        <f>VLOOKUP($E5,'Master Food List'!master_food_list,22,FALSE)</f>
        <v>Thrive Life</v>
      </c>
      <c r="H5" s="208" t="str">
        <f>VLOOKUP($E5,'Master Food List'!master_food_list,4,FALSE)</f>
        <v>Pouch</v>
      </c>
      <c r="J5" s="194" t="s">
        <v>244</v>
      </c>
      <c r="K5" s="198"/>
      <c r="L5" s="198"/>
      <c r="M5" s="198"/>
      <c r="N5" s="198"/>
      <c r="O5" s="198"/>
      <c r="P5" s="198"/>
      <c r="Q5" s="198"/>
      <c r="R5" s="198"/>
      <c r="S5" s="198"/>
      <c r="T5" s="198"/>
      <c r="U5" s="198"/>
      <c r="V5" s="198"/>
      <c r="W5" s="198"/>
      <c r="X5"/>
      <c r="Y5"/>
      <c r="Z5"/>
    </row>
    <row r="6" spans="1:26" ht="16" customHeight="1" x14ac:dyDescent="0.2">
      <c r="A6" s="208" t="s">
        <v>509</v>
      </c>
      <c r="B6" s="163">
        <v>0</v>
      </c>
      <c r="C6" s="164" t="s">
        <v>463</v>
      </c>
      <c r="D6" s="164" t="s">
        <v>458</v>
      </c>
      <c r="E6" s="203" t="s">
        <v>486</v>
      </c>
      <c r="F6" s="208" t="str">
        <f>VLOOKUP($E6,'Master Food List'!master_food_list,21,FALSE)</f>
        <v>Backpacker's Pantry</v>
      </c>
      <c r="G6" s="208" t="str">
        <f>VLOOKUP($E6,'Master Food List'!master_food_list,22,FALSE)</f>
        <v>Backpacker's Pantry</v>
      </c>
      <c r="H6" s="208" t="str">
        <f>VLOOKUP($E6,'Master Food List'!master_food_list,4,FALSE)</f>
        <v>Pouch</v>
      </c>
      <c r="J6" s="195" t="s">
        <v>345</v>
      </c>
      <c r="K6" s="198"/>
      <c r="L6" s="198"/>
      <c r="M6" s="198"/>
      <c r="N6" s="198"/>
      <c r="O6" s="198"/>
      <c r="P6" s="198"/>
      <c r="Q6" s="198"/>
      <c r="R6" s="198"/>
      <c r="S6" s="198"/>
      <c r="T6" s="198"/>
      <c r="U6" s="198"/>
      <c r="V6" s="198"/>
      <c r="W6" s="198"/>
      <c r="X6"/>
      <c r="Y6"/>
      <c r="Z6"/>
    </row>
    <row r="7" spans="1:26" ht="16" customHeight="1" x14ac:dyDescent="0.2">
      <c r="A7" s="208" t="s">
        <v>509</v>
      </c>
      <c r="B7" s="171">
        <v>1</v>
      </c>
      <c r="C7" s="188" t="s">
        <v>463</v>
      </c>
      <c r="D7" s="188" t="s">
        <v>462</v>
      </c>
      <c r="E7" s="205" t="s">
        <v>480</v>
      </c>
      <c r="F7" s="208" t="str">
        <f>VLOOKUP($E7,'Master Food List'!master_food_list,21,FALSE)</f>
        <v>Backpacker's Pantry</v>
      </c>
      <c r="G7" s="208" t="str">
        <f>VLOOKUP($E7,'Master Food List'!master_food_list,22,FALSE)</f>
        <v>Backpacker's Pantry</v>
      </c>
      <c r="H7" s="208" t="str">
        <f>VLOOKUP($E7,'Master Food List'!master_food_list,4,FALSE)</f>
        <v>Pouch</v>
      </c>
      <c r="J7" s="250" t="s">
        <v>522</v>
      </c>
      <c r="K7" s="251"/>
      <c r="L7" s="251"/>
      <c r="M7" s="251"/>
      <c r="N7" s="251"/>
      <c r="O7" s="251"/>
      <c r="P7" s="251"/>
      <c r="Q7" s="251"/>
      <c r="R7" s="251"/>
      <c r="S7" s="251"/>
      <c r="T7" s="251">
        <v>8</v>
      </c>
      <c r="U7" s="251"/>
      <c r="V7" s="251"/>
      <c r="W7" s="251"/>
      <c r="X7"/>
      <c r="Y7"/>
      <c r="Z7"/>
    </row>
    <row r="8" spans="1:26" ht="32" customHeight="1" x14ac:dyDescent="0.2">
      <c r="A8" s="208" t="s">
        <v>509</v>
      </c>
      <c r="B8" s="171">
        <v>1</v>
      </c>
      <c r="C8" s="188" t="s">
        <v>463</v>
      </c>
      <c r="D8" s="188" t="s">
        <v>461</v>
      </c>
      <c r="E8" s="205" t="s">
        <v>430</v>
      </c>
      <c r="F8" s="208" t="str">
        <f>VLOOKUP($E8,'Master Food List'!master_food_list,21,FALSE)</f>
        <v>Alpine Aire</v>
      </c>
      <c r="G8" s="208" t="str">
        <f>VLOOKUP($E8,'Master Food List'!master_food_list,22,FALSE)</f>
        <v>Alpine Aire</v>
      </c>
      <c r="H8" s="208" t="str">
        <f>VLOOKUP($E8,'Master Food List'!master_food_list,4,FALSE)</f>
        <v>Pouch</v>
      </c>
      <c r="J8" s="195" t="s">
        <v>334</v>
      </c>
      <c r="K8" s="198"/>
      <c r="L8" s="198"/>
      <c r="M8" s="198"/>
      <c r="N8" s="198"/>
      <c r="O8" s="198"/>
      <c r="P8" s="198"/>
      <c r="Q8" s="198"/>
      <c r="R8" s="198"/>
      <c r="S8" s="198"/>
      <c r="T8" s="198"/>
      <c r="U8" s="198"/>
      <c r="V8" s="198"/>
      <c r="W8" s="198"/>
      <c r="X8"/>
      <c r="Y8"/>
      <c r="Z8"/>
    </row>
    <row r="9" spans="1:26" ht="16" customHeight="1" x14ac:dyDescent="0.2">
      <c r="A9" s="208" t="s">
        <v>509</v>
      </c>
      <c r="B9" s="171">
        <v>1</v>
      </c>
      <c r="C9" s="188" t="s">
        <v>463</v>
      </c>
      <c r="D9" s="188" t="s">
        <v>460</v>
      </c>
      <c r="E9" s="205"/>
      <c r="F9" s="208" t="e">
        <f>VLOOKUP($E9,'Master Food List'!master_food_list,21,FALSE)</f>
        <v>#N/A</v>
      </c>
      <c r="G9" s="208" t="e">
        <f>VLOOKUP($E9,'Master Food List'!master_food_list,22,FALSE)</f>
        <v>#N/A</v>
      </c>
      <c r="H9" s="208" t="e">
        <f>VLOOKUP($E9,'Master Food List'!master_food_list,4,FALSE)</f>
        <v>#N/A</v>
      </c>
      <c r="J9" s="258" t="s">
        <v>396</v>
      </c>
      <c r="K9" s="198"/>
      <c r="L9" s="198"/>
      <c r="M9" s="198"/>
      <c r="N9" s="198"/>
      <c r="O9" s="198"/>
      <c r="P9" s="198">
        <v>4</v>
      </c>
      <c r="Q9" s="198"/>
      <c r="R9" s="198"/>
      <c r="S9" s="198"/>
      <c r="T9" s="198"/>
      <c r="U9" s="198"/>
      <c r="V9" s="198"/>
      <c r="W9" s="198"/>
      <c r="X9"/>
      <c r="Y9"/>
      <c r="Z9"/>
    </row>
    <row r="10" spans="1:26" ht="32" customHeight="1" x14ac:dyDescent="0.2">
      <c r="A10" s="208" t="s">
        <v>509</v>
      </c>
      <c r="B10" s="171">
        <v>1</v>
      </c>
      <c r="C10" s="188" t="s">
        <v>463</v>
      </c>
      <c r="D10" s="188" t="s">
        <v>459</v>
      </c>
      <c r="E10" s="205" t="s">
        <v>354</v>
      </c>
      <c r="F10" s="208" t="str">
        <f>VLOOKUP($E10,'Master Food List'!master_food_list,21,FALSE)</f>
        <v>Thrive Life</v>
      </c>
      <c r="G10" s="208" t="str">
        <f>VLOOKUP($E10,'Master Food List'!master_food_list,22,FALSE)</f>
        <v>Thrive Life</v>
      </c>
      <c r="H10" s="208" t="str">
        <f>VLOOKUP($E10,'Master Food List'!master_food_list,4,FALSE)</f>
        <v>Pouch</v>
      </c>
      <c r="J10" s="258" t="s">
        <v>397</v>
      </c>
      <c r="K10" s="198"/>
      <c r="L10" s="198"/>
      <c r="M10" s="198"/>
      <c r="N10" s="198"/>
      <c r="O10" s="198"/>
      <c r="P10" s="198">
        <v>3</v>
      </c>
      <c r="Q10" s="198"/>
      <c r="R10" s="198"/>
      <c r="S10" s="198"/>
      <c r="T10" s="198"/>
      <c r="U10" s="198"/>
      <c r="V10" s="198"/>
      <c r="W10" s="198"/>
      <c r="X10"/>
      <c r="Y10"/>
      <c r="Z10"/>
    </row>
    <row r="11" spans="1:26" ht="16" customHeight="1" x14ac:dyDescent="0.2">
      <c r="A11" s="208" t="s">
        <v>509</v>
      </c>
      <c r="B11" s="171">
        <v>1</v>
      </c>
      <c r="C11" s="188" t="s">
        <v>463</v>
      </c>
      <c r="D11" s="188" t="s">
        <v>458</v>
      </c>
      <c r="E11" s="205" t="s">
        <v>336</v>
      </c>
      <c r="F11" s="208" t="str">
        <f>VLOOKUP($E11,'Master Food List'!master_food_list,21,FALSE)</f>
        <v>Mountain House</v>
      </c>
      <c r="G11" s="208" t="str">
        <f>VLOOKUP($E11,'Master Food List'!master_food_list,22,FALSE)</f>
        <v>Amazon</v>
      </c>
      <c r="H11" s="208" t="str">
        <f>VLOOKUP($E11,'Master Food List'!master_food_list,4,FALSE)</f>
        <v>#10 Can*</v>
      </c>
      <c r="J11" s="195" t="s">
        <v>282</v>
      </c>
      <c r="K11" s="198"/>
      <c r="L11" s="198"/>
      <c r="M11" s="198"/>
      <c r="N11" s="198"/>
      <c r="O11" s="198"/>
      <c r="P11" s="198"/>
      <c r="Q11" s="198"/>
      <c r="R11" s="198"/>
      <c r="S11" s="198"/>
      <c r="T11" s="198"/>
      <c r="U11" s="198"/>
      <c r="V11" s="198"/>
      <c r="W11" s="198"/>
      <c r="X11"/>
      <c r="Y11"/>
      <c r="Z11"/>
    </row>
    <row r="12" spans="1:26" ht="16" customHeight="1" x14ac:dyDescent="0.2">
      <c r="A12" s="208" t="s">
        <v>509</v>
      </c>
      <c r="B12" s="171">
        <v>1</v>
      </c>
      <c r="C12" s="188" t="s">
        <v>463</v>
      </c>
      <c r="D12" s="188" t="s">
        <v>457</v>
      </c>
      <c r="E12" s="205" t="s">
        <v>479</v>
      </c>
      <c r="F12" s="208" t="str">
        <f>VLOOKUP($E12,'Master Food List'!master_food_list,21,FALSE)</f>
        <v>Justin's</v>
      </c>
      <c r="G12" s="208" t="str">
        <f>VLOOKUP($E12,'Master Food List'!master_food_list,22,FALSE)</f>
        <v>Amazon</v>
      </c>
      <c r="H12" s="208" t="str">
        <f>VLOOKUP($E12,'Master Food List'!master_food_list,4,FALSE)</f>
        <v>Jar</v>
      </c>
      <c r="J12" s="250" t="s">
        <v>284</v>
      </c>
      <c r="K12" s="251"/>
      <c r="L12" s="251"/>
      <c r="M12" s="251"/>
      <c r="N12" s="251"/>
      <c r="O12" s="251"/>
      <c r="P12" s="251"/>
      <c r="Q12" s="251"/>
      <c r="R12" s="251"/>
      <c r="S12" s="251"/>
      <c r="T12" s="251">
        <v>3</v>
      </c>
      <c r="U12" s="251"/>
      <c r="V12" s="251"/>
      <c r="W12" s="251"/>
      <c r="X12"/>
      <c r="Y12"/>
      <c r="Z12"/>
    </row>
    <row r="13" spans="1:26" ht="16" customHeight="1" x14ac:dyDescent="0.2">
      <c r="A13" s="208" t="s">
        <v>509</v>
      </c>
      <c r="B13" s="171">
        <v>1</v>
      </c>
      <c r="C13" s="188" t="s">
        <v>463</v>
      </c>
      <c r="D13" s="188" t="s">
        <v>455</v>
      </c>
      <c r="E13" s="205" t="s">
        <v>478</v>
      </c>
      <c r="F13" s="208" t="str">
        <f>VLOOKUP($E13,'Master Food List'!master_food_list,21,FALSE)</f>
        <v>Mountain House</v>
      </c>
      <c r="G13" s="208" t="str">
        <f>VLOOKUP($E13,'Master Food List'!master_food_list,22,FALSE)</f>
        <v>Amazon</v>
      </c>
      <c r="H13" s="208" t="str">
        <f>VLOOKUP($E13,'Master Food List'!master_food_list,4,FALSE)</f>
        <v>6-Pack</v>
      </c>
      <c r="J13" s="250" t="s">
        <v>481</v>
      </c>
      <c r="K13" s="251"/>
      <c r="L13" s="251"/>
      <c r="M13" s="251"/>
      <c r="N13" s="251"/>
      <c r="O13" s="251"/>
      <c r="P13" s="251"/>
      <c r="Q13" s="251"/>
      <c r="R13" s="251"/>
      <c r="S13" s="251"/>
      <c r="T13" s="251">
        <v>11</v>
      </c>
      <c r="U13" s="251"/>
      <c r="V13" s="251"/>
      <c r="W13" s="251"/>
      <c r="X13"/>
      <c r="Y13"/>
      <c r="Z13"/>
    </row>
    <row r="14" spans="1:26" ht="16" customHeight="1" x14ac:dyDescent="0.2">
      <c r="A14" s="208" t="s">
        <v>509</v>
      </c>
      <c r="B14" s="170">
        <v>2</v>
      </c>
      <c r="C14" s="168" t="s">
        <v>463</v>
      </c>
      <c r="D14" s="168" t="s">
        <v>462</v>
      </c>
      <c r="E14" s="193" t="s">
        <v>481</v>
      </c>
      <c r="F14" s="208" t="str">
        <f>VLOOKUP($E14,'Master Food List'!master_food_list,21,FALSE)</f>
        <v>Kellog's</v>
      </c>
      <c r="G14" s="208" t="str">
        <f>VLOOKUP($E14,'Master Food List'!master_food_list,22,FALSE)</f>
        <v>Acme</v>
      </c>
      <c r="H14" s="208" t="str">
        <f>VLOOKUP($E14,'Master Food List'!master_food_list,4,FALSE)</f>
        <v>pkg</v>
      </c>
      <c r="J14" s="195" t="s">
        <v>297</v>
      </c>
      <c r="K14" s="198"/>
      <c r="L14" s="198"/>
      <c r="M14" s="198"/>
      <c r="N14" s="198"/>
      <c r="O14" s="198"/>
      <c r="P14" s="198"/>
      <c r="Q14" s="198"/>
      <c r="R14" s="198"/>
      <c r="S14" s="198"/>
      <c r="T14" s="198"/>
      <c r="U14" s="198"/>
      <c r="V14" s="198"/>
      <c r="W14" s="198"/>
      <c r="X14"/>
      <c r="Y14"/>
      <c r="Z14"/>
    </row>
    <row r="15" spans="1:26" ht="32" customHeight="1" x14ac:dyDescent="0.2">
      <c r="A15" s="208" t="s">
        <v>509</v>
      </c>
      <c r="B15" s="170">
        <v>2</v>
      </c>
      <c r="C15" s="168" t="s">
        <v>463</v>
      </c>
      <c r="D15" s="168" t="s">
        <v>461</v>
      </c>
      <c r="E15" s="193" t="s">
        <v>396</v>
      </c>
      <c r="F15" s="208" t="str">
        <f>VLOOKUP($E15,'Master Food List'!master_food_list,21,FALSE)</f>
        <v>Clif</v>
      </c>
      <c r="G15" s="208" t="str">
        <f>VLOOKUP($E15,'Master Food List'!master_food_list,22,FALSE)</f>
        <v>Acme</v>
      </c>
      <c r="H15" s="208" t="str">
        <f>VLOOKUP($E15,'Master Food List'!master_food_list,4,FALSE)</f>
        <v>Bar</v>
      </c>
      <c r="J15" s="250" t="s">
        <v>483</v>
      </c>
      <c r="K15" s="251"/>
      <c r="L15" s="251"/>
      <c r="M15" s="251"/>
      <c r="N15" s="251">
        <v>5</v>
      </c>
      <c r="O15" s="251"/>
      <c r="P15" s="251"/>
      <c r="Q15" s="251"/>
      <c r="R15" s="251"/>
      <c r="S15" s="251"/>
      <c r="T15" s="251"/>
      <c r="U15" s="251"/>
      <c r="V15" s="251"/>
      <c r="W15" s="251"/>
      <c r="X15"/>
      <c r="Y15"/>
      <c r="Z15"/>
    </row>
    <row r="16" spans="1:26" ht="16" customHeight="1" x14ac:dyDescent="0.2">
      <c r="A16" s="208" t="s">
        <v>509</v>
      </c>
      <c r="B16" s="170">
        <v>2</v>
      </c>
      <c r="C16" s="168" t="s">
        <v>463</v>
      </c>
      <c r="D16" s="168" t="s">
        <v>460</v>
      </c>
      <c r="E16" s="193"/>
      <c r="F16" s="208" t="e">
        <f>VLOOKUP($E16,'Master Food List'!master_food_list,21,FALSE)</f>
        <v>#N/A</v>
      </c>
      <c r="G16" s="208" t="e">
        <f>VLOOKUP($E16,'Master Food List'!master_food_list,22,FALSE)</f>
        <v>#N/A</v>
      </c>
      <c r="H16" s="208" t="e">
        <f>VLOOKUP($E16,'Master Food List'!master_food_list,4,FALSE)</f>
        <v>#N/A</v>
      </c>
      <c r="J16" s="195" t="s">
        <v>288</v>
      </c>
      <c r="K16" s="198"/>
      <c r="L16" s="198"/>
      <c r="M16" s="198"/>
      <c r="N16" s="198"/>
      <c r="O16" s="198"/>
      <c r="P16" s="198"/>
      <c r="Q16" s="198"/>
      <c r="R16" s="198"/>
      <c r="S16" s="198"/>
      <c r="T16" s="198"/>
      <c r="U16" s="198"/>
      <c r="V16" s="198"/>
      <c r="W16" s="198"/>
      <c r="X16"/>
      <c r="Y16"/>
      <c r="Z16"/>
    </row>
    <row r="17" spans="1:26" ht="34" x14ac:dyDescent="0.2">
      <c r="A17" s="208" t="s">
        <v>509</v>
      </c>
      <c r="B17" s="170">
        <v>2</v>
      </c>
      <c r="C17" s="168" t="s">
        <v>463</v>
      </c>
      <c r="D17" s="168" t="s">
        <v>459</v>
      </c>
      <c r="E17" s="193" t="s">
        <v>327</v>
      </c>
      <c r="F17" s="208" t="str">
        <f>VLOOKUP($E17,'Master Food List'!master_food_list,21,FALSE)</f>
        <v>Epic</v>
      </c>
      <c r="G17" s="208" t="str">
        <f>VLOOKUP($E17,'Master Food List'!master_food_list,22,FALSE)</f>
        <v>Amazon</v>
      </c>
      <c r="H17" s="208" t="str">
        <f>VLOOKUP($E17,'Master Food List'!master_food_list,4,FALSE)</f>
        <v>Pack of 12</v>
      </c>
      <c r="J17" s="258" t="s">
        <v>479</v>
      </c>
      <c r="K17" s="198"/>
      <c r="L17" s="198"/>
      <c r="M17" s="198"/>
      <c r="N17" s="198"/>
      <c r="O17" s="198"/>
      <c r="P17" s="198"/>
      <c r="Q17" s="198">
        <v>48</v>
      </c>
      <c r="R17" s="198"/>
      <c r="S17" s="198"/>
      <c r="T17" s="198"/>
      <c r="U17" s="198"/>
      <c r="V17" s="198"/>
      <c r="W17" s="198"/>
      <c r="X17"/>
      <c r="Y17"/>
      <c r="Z17"/>
    </row>
    <row r="18" spans="1:26" ht="16" customHeight="1" x14ac:dyDescent="0.2">
      <c r="A18" s="208" t="s">
        <v>509</v>
      </c>
      <c r="B18" s="170">
        <v>2</v>
      </c>
      <c r="C18" s="168" t="s">
        <v>463</v>
      </c>
      <c r="D18" s="168" t="s">
        <v>458</v>
      </c>
      <c r="E18" s="193" t="s">
        <v>449</v>
      </c>
      <c r="F18" s="208" t="str">
        <f>VLOOKUP($E18,'Master Food List'!master_food_list,21,FALSE)</f>
        <v>Alpine Aire</v>
      </c>
      <c r="G18" s="208" t="str">
        <f>VLOOKUP($E18,'Master Food List'!master_food_list,22,FALSE)</f>
        <v>Alpine Aire</v>
      </c>
      <c r="H18" s="208" t="str">
        <f>VLOOKUP($E18,'Master Food List'!master_food_list,4,FALSE)</f>
        <v>Pouch</v>
      </c>
      <c r="J18" s="195" t="s">
        <v>272</v>
      </c>
      <c r="K18" s="198"/>
      <c r="L18" s="198"/>
      <c r="M18" s="198"/>
      <c r="N18" s="198"/>
      <c r="O18" s="198"/>
      <c r="P18" s="198"/>
      <c r="Q18" s="198"/>
      <c r="R18" s="198"/>
      <c r="S18" s="198"/>
      <c r="T18" s="198"/>
      <c r="U18" s="198"/>
      <c r="V18" s="198"/>
      <c r="W18" s="198"/>
      <c r="X18"/>
      <c r="Y18"/>
      <c r="Z18"/>
    </row>
    <row r="19" spans="1:26" ht="16" customHeight="1" x14ac:dyDescent="0.2">
      <c r="A19" s="208" t="s">
        <v>509</v>
      </c>
      <c r="B19" s="170">
        <v>2</v>
      </c>
      <c r="C19" s="168" t="s">
        <v>463</v>
      </c>
      <c r="D19" s="168" t="s">
        <v>457</v>
      </c>
      <c r="E19" s="193" t="s">
        <v>479</v>
      </c>
      <c r="F19" s="208" t="str">
        <f>VLOOKUP($E19,'Master Food List'!master_food_list,21,FALSE)</f>
        <v>Justin's</v>
      </c>
      <c r="G19" s="208" t="str">
        <f>VLOOKUP($E19,'Master Food List'!master_food_list,22,FALSE)</f>
        <v>Amazon</v>
      </c>
      <c r="H19" s="208" t="str">
        <f>VLOOKUP($E19,'Master Food List'!master_food_list,4,FALSE)</f>
        <v>Jar</v>
      </c>
      <c r="J19" s="258" t="s">
        <v>414</v>
      </c>
      <c r="K19" s="198"/>
      <c r="L19" s="198"/>
      <c r="M19" s="198"/>
      <c r="N19" s="198"/>
      <c r="O19" s="198"/>
      <c r="P19" s="198">
        <v>11</v>
      </c>
      <c r="Q19" s="198"/>
      <c r="R19" s="198"/>
      <c r="S19" s="198"/>
      <c r="T19" s="198"/>
      <c r="U19" s="198"/>
      <c r="V19" s="198"/>
      <c r="W19" s="198"/>
      <c r="X19"/>
      <c r="Y19"/>
      <c r="Z19"/>
    </row>
    <row r="20" spans="1:26" ht="16" customHeight="1" x14ac:dyDescent="0.2">
      <c r="A20" s="208" t="s">
        <v>509</v>
      </c>
      <c r="B20" s="170">
        <v>2</v>
      </c>
      <c r="C20" s="168" t="s">
        <v>463</v>
      </c>
      <c r="D20" s="168" t="s">
        <v>455</v>
      </c>
      <c r="E20" s="193" t="s">
        <v>484</v>
      </c>
      <c r="F20" s="208" t="str">
        <f>VLOOKUP($E20,'Master Food List'!master_food_list,21,FALSE)</f>
        <v>Backpacker's Pantry</v>
      </c>
      <c r="G20" s="208" t="str">
        <f>VLOOKUP($E20,'Master Food List'!master_food_list,22,FALSE)</f>
        <v>Backpacker's Pantry</v>
      </c>
      <c r="H20" s="208" t="str">
        <f>VLOOKUP($E20,'Master Food List'!master_food_list,4,FALSE)</f>
        <v>Pouch</v>
      </c>
      <c r="J20" s="194" t="s">
        <v>514</v>
      </c>
      <c r="K20" s="198"/>
      <c r="L20" s="198"/>
      <c r="M20" s="198"/>
      <c r="N20" s="198"/>
      <c r="O20" s="198"/>
      <c r="P20" s="198"/>
      <c r="Q20" s="198"/>
      <c r="R20" s="198"/>
      <c r="S20" s="198"/>
      <c r="T20" s="198"/>
      <c r="U20" s="198"/>
      <c r="V20" s="198"/>
      <c r="W20" s="198"/>
      <c r="X20"/>
      <c r="Y20"/>
      <c r="Z20"/>
    </row>
    <row r="21" spans="1:26" ht="16" customHeight="1" x14ac:dyDescent="0.2">
      <c r="A21" s="208" t="s">
        <v>509</v>
      </c>
      <c r="B21" s="170">
        <v>3</v>
      </c>
      <c r="C21" s="168" t="s">
        <v>463</v>
      </c>
      <c r="D21" s="168" t="s">
        <v>462</v>
      </c>
      <c r="E21" s="193" t="s">
        <v>485</v>
      </c>
      <c r="F21" s="208" t="str">
        <f>VLOOKUP($E21,'Master Food List'!master_food_list,21,FALSE)</f>
        <v>Mountain House</v>
      </c>
      <c r="G21" s="208" t="str">
        <f>VLOOKUP($E21,'Master Food List'!master_food_list,22,FALSE)</f>
        <v>Amazon</v>
      </c>
      <c r="H21" s="208" t="str">
        <f>VLOOKUP($E21,'Master Food List'!master_food_list,4,FALSE)</f>
        <v>#10 Can*</v>
      </c>
      <c r="J21" s="195" t="s">
        <v>513</v>
      </c>
      <c r="K21" s="198"/>
      <c r="L21" s="198"/>
      <c r="M21" s="198"/>
      <c r="N21" s="198"/>
      <c r="O21" s="198"/>
      <c r="P21" s="198"/>
      <c r="Q21" s="198"/>
      <c r="R21" s="198"/>
      <c r="S21" s="198"/>
      <c r="T21" s="198"/>
      <c r="U21" s="198"/>
      <c r="V21" s="198"/>
      <c r="W21" s="198"/>
      <c r="X21"/>
      <c r="Y21"/>
      <c r="Z21"/>
    </row>
    <row r="22" spans="1:26" ht="32" customHeight="1" x14ac:dyDescent="0.2">
      <c r="A22" s="208" t="s">
        <v>509</v>
      </c>
      <c r="B22" s="170">
        <v>3</v>
      </c>
      <c r="C22" s="168" t="s">
        <v>463</v>
      </c>
      <c r="D22" s="168" t="s">
        <v>461</v>
      </c>
      <c r="E22" s="193" t="s">
        <v>433</v>
      </c>
      <c r="F22" s="208" t="str">
        <f>VLOOKUP($E22,'Master Food List'!master_food_list,21,FALSE)</f>
        <v>Alpine Aire</v>
      </c>
      <c r="G22" s="208" t="str">
        <f>VLOOKUP($E22,'Master Food List'!master_food_list,22,FALSE)</f>
        <v>Alpine Aire</v>
      </c>
      <c r="H22" s="208" t="str">
        <f>VLOOKUP($E22,'Master Food List'!master_food_list,4,FALSE)</f>
        <v>Pouch</v>
      </c>
      <c r="J22" s="250" t="s">
        <v>498</v>
      </c>
      <c r="K22" s="251">
        <v>6</v>
      </c>
      <c r="L22" s="251"/>
      <c r="M22" s="251"/>
      <c r="N22" s="251"/>
      <c r="O22" s="251"/>
      <c r="P22" s="251"/>
      <c r="Q22" s="251"/>
      <c r="R22" s="251"/>
      <c r="S22" s="251"/>
      <c r="T22" s="251"/>
      <c r="U22" s="251"/>
      <c r="V22" s="251"/>
      <c r="W22" s="251"/>
      <c r="X22"/>
      <c r="Y22"/>
      <c r="Z22"/>
    </row>
    <row r="23" spans="1:26" ht="16" customHeight="1" x14ac:dyDescent="0.2">
      <c r="A23" s="208" t="s">
        <v>509</v>
      </c>
      <c r="B23" s="170">
        <v>3</v>
      </c>
      <c r="C23" s="168" t="s">
        <v>463</v>
      </c>
      <c r="D23" s="168" t="s">
        <v>460</v>
      </c>
      <c r="E23" s="193"/>
      <c r="F23" s="208" t="e">
        <f>VLOOKUP($E23,'Master Food List'!master_food_list,21,FALSE)</f>
        <v>#N/A</v>
      </c>
      <c r="G23" s="208" t="e">
        <f>VLOOKUP($E23,'Master Food List'!master_food_list,22,FALSE)</f>
        <v>#N/A</v>
      </c>
      <c r="H23" s="208" t="e">
        <f>VLOOKUP($E23,'Master Food List'!master_food_list,4,FALSE)</f>
        <v>#N/A</v>
      </c>
      <c r="J23" s="194" t="s">
        <v>249</v>
      </c>
      <c r="K23" s="198"/>
      <c r="L23" s="198"/>
      <c r="M23" s="198"/>
      <c r="N23" s="198"/>
      <c r="O23" s="198"/>
      <c r="P23" s="198"/>
      <c r="Q23" s="198"/>
      <c r="R23" s="198"/>
      <c r="S23" s="198"/>
      <c r="T23" s="198"/>
      <c r="U23" s="198"/>
      <c r="V23" s="198"/>
      <c r="W23" s="198"/>
      <c r="X23"/>
      <c r="Y23"/>
      <c r="Z23"/>
    </row>
    <row r="24" spans="1:26" ht="32" customHeight="1" x14ac:dyDescent="0.2">
      <c r="A24" s="208" t="s">
        <v>509</v>
      </c>
      <c r="B24" s="170">
        <v>3</v>
      </c>
      <c r="C24" s="168" t="s">
        <v>463</v>
      </c>
      <c r="D24" s="168" t="s">
        <v>459</v>
      </c>
      <c r="E24" s="193" t="s">
        <v>333</v>
      </c>
      <c r="F24" s="208" t="str">
        <f>VLOOKUP($E24,'Master Food List'!master_food_list,21,FALSE)</f>
        <v>Thrive Life</v>
      </c>
      <c r="G24" s="208" t="str">
        <f>VLOOKUP($E24,'Master Food List'!master_food_list,22,FALSE)</f>
        <v>Thrive Life</v>
      </c>
      <c r="H24" s="208" t="str">
        <f>VLOOKUP($E24,'Master Food List'!master_food_list,4,FALSE)</f>
        <v>Pouch</v>
      </c>
      <c r="J24" s="195" t="s">
        <v>249</v>
      </c>
      <c r="K24" s="198"/>
      <c r="L24" s="198"/>
      <c r="M24" s="198"/>
      <c r="N24" s="198"/>
      <c r="O24" s="198"/>
      <c r="P24" s="198"/>
      <c r="Q24" s="198"/>
      <c r="R24" s="198"/>
      <c r="S24" s="198"/>
      <c r="T24" s="198"/>
      <c r="U24" s="198"/>
      <c r="V24" s="198"/>
      <c r="W24" s="198"/>
      <c r="X24"/>
      <c r="Y24"/>
      <c r="Z24"/>
    </row>
    <row r="25" spans="1:26" ht="16" customHeight="1" x14ac:dyDescent="0.2">
      <c r="A25" s="208" t="s">
        <v>509</v>
      </c>
      <c r="B25" s="170">
        <v>3</v>
      </c>
      <c r="C25" s="168" t="s">
        <v>463</v>
      </c>
      <c r="D25" s="168" t="s">
        <v>458</v>
      </c>
      <c r="E25" s="193" t="s">
        <v>452</v>
      </c>
      <c r="F25" s="208" t="str">
        <f>VLOOKUP($E25,'Master Food List'!master_food_list,21,FALSE)</f>
        <v>Alpine Aire</v>
      </c>
      <c r="G25" s="208" t="str">
        <f>VLOOKUP($E25,'Master Food List'!master_food_list,22,FALSE)</f>
        <v>Alpine Aire</v>
      </c>
      <c r="H25" s="208" t="str">
        <f>VLOOKUP($E25,'Master Food List'!master_food_list,4,FALSE)</f>
        <v>Pouch</v>
      </c>
      <c r="J25" s="250" t="s">
        <v>445</v>
      </c>
      <c r="K25" s="251"/>
      <c r="L25" s="251"/>
      <c r="M25" s="251"/>
      <c r="N25" s="251"/>
      <c r="O25" s="251"/>
      <c r="P25" s="251"/>
      <c r="Q25" s="251"/>
      <c r="R25" s="251"/>
      <c r="S25" s="251"/>
      <c r="T25" s="251"/>
      <c r="U25" s="251">
        <v>3</v>
      </c>
      <c r="V25" s="251"/>
      <c r="W25" s="251"/>
      <c r="X25"/>
      <c r="Y25"/>
      <c r="Z25"/>
    </row>
    <row r="26" spans="1:26" ht="16" customHeight="1" x14ac:dyDescent="0.2">
      <c r="A26" s="208" t="s">
        <v>509</v>
      </c>
      <c r="B26" s="170">
        <v>3</v>
      </c>
      <c r="C26" s="168" t="s">
        <v>463</v>
      </c>
      <c r="D26" s="168" t="s">
        <v>457</v>
      </c>
      <c r="E26" s="193" t="s">
        <v>479</v>
      </c>
      <c r="F26" s="208" t="str">
        <f>VLOOKUP($E26,'Master Food List'!master_food_list,21,FALSE)</f>
        <v>Justin's</v>
      </c>
      <c r="G26" s="208" t="str">
        <f>VLOOKUP($E26,'Master Food List'!master_food_list,22,FALSE)</f>
        <v>Amazon</v>
      </c>
      <c r="H26" s="208" t="str">
        <f>VLOOKUP($E26,'Master Food List'!master_food_list,4,FALSE)</f>
        <v>Jar</v>
      </c>
      <c r="J26" s="250" t="s">
        <v>439</v>
      </c>
      <c r="K26" s="251"/>
      <c r="L26" s="251"/>
      <c r="M26" s="251"/>
      <c r="N26" s="251"/>
      <c r="O26" s="251"/>
      <c r="P26" s="251"/>
      <c r="Q26" s="251"/>
      <c r="R26" s="251"/>
      <c r="S26" s="251"/>
      <c r="T26" s="251"/>
      <c r="U26" s="251">
        <v>2</v>
      </c>
      <c r="V26" s="251"/>
      <c r="W26" s="251"/>
      <c r="X26"/>
      <c r="Y26"/>
      <c r="Z26"/>
    </row>
    <row r="27" spans="1:26" ht="16" customHeight="1" x14ac:dyDescent="0.2">
      <c r="A27" s="208" t="s">
        <v>509</v>
      </c>
      <c r="B27" s="170">
        <v>3</v>
      </c>
      <c r="C27" s="168" t="s">
        <v>463</v>
      </c>
      <c r="D27" s="168" t="s">
        <v>455</v>
      </c>
      <c r="E27" s="193" t="s">
        <v>505</v>
      </c>
      <c r="F27" s="208" t="str">
        <f>VLOOKUP($E27,'Master Food List'!master_food_list,21,FALSE)</f>
        <v>Backpacker's Pantry</v>
      </c>
      <c r="G27" s="208" t="str">
        <f>VLOOKUP($E27,'Master Food List'!master_food_list,22,FALSE)</f>
        <v>Backpacker's Pantry</v>
      </c>
      <c r="H27" s="208" t="str">
        <f>VLOOKUP($E27,'Master Food List'!master_food_list,4,FALSE)</f>
        <v>Pouch</v>
      </c>
      <c r="J27" s="250" t="s">
        <v>452</v>
      </c>
      <c r="K27" s="251"/>
      <c r="L27" s="251"/>
      <c r="M27" s="251"/>
      <c r="N27" s="251"/>
      <c r="O27" s="251"/>
      <c r="P27" s="251"/>
      <c r="Q27" s="251"/>
      <c r="R27" s="251"/>
      <c r="S27" s="251"/>
      <c r="T27" s="251"/>
      <c r="U27" s="251">
        <v>3</v>
      </c>
      <c r="V27" s="251"/>
      <c r="W27" s="251"/>
      <c r="X27"/>
      <c r="Y27"/>
      <c r="Z27"/>
    </row>
    <row r="28" spans="1:26" ht="16" customHeight="1" x14ac:dyDescent="0.2">
      <c r="A28" s="208" t="s">
        <v>509</v>
      </c>
      <c r="B28" s="191">
        <v>4</v>
      </c>
      <c r="C28" s="188" t="s">
        <v>463</v>
      </c>
      <c r="D28" s="188" t="s">
        <v>462</v>
      </c>
      <c r="E28" s="205" t="s">
        <v>480</v>
      </c>
      <c r="F28" s="208" t="str">
        <f>VLOOKUP($E28,'Master Food List'!master_food_list,21,FALSE)</f>
        <v>Backpacker's Pantry</v>
      </c>
      <c r="G28" s="208" t="str">
        <f>VLOOKUP($E28,'Master Food List'!master_food_list,22,FALSE)</f>
        <v>Backpacker's Pantry</v>
      </c>
      <c r="H28" s="208" t="str">
        <f>VLOOKUP($E28,'Master Food List'!master_food_list,4,FALSE)</f>
        <v>Pouch</v>
      </c>
      <c r="J28" s="250" t="s">
        <v>442</v>
      </c>
      <c r="K28" s="251"/>
      <c r="L28" s="251"/>
      <c r="M28" s="251"/>
      <c r="N28" s="251"/>
      <c r="O28" s="251"/>
      <c r="P28" s="251"/>
      <c r="Q28" s="251"/>
      <c r="R28" s="251"/>
      <c r="S28" s="251"/>
      <c r="T28" s="251"/>
      <c r="U28" s="251">
        <v>2</v>
      </c>
      <c r="V28" s="251"/>
      <c r="W28" s="251"/>
      <c r="X28"/>
      <c r="Y28"/>
      <c r="Z28"/>
    </row>
    <row r="29" spans="1:26" ht="32" customHeight="1" x14ac:dyDescent="0.2">
      <c r="A29" s="208" t="s">
        <v>509</v>
      </c>
      <c r="B29" s="171">
        <v>4</v>
      </c>
      <c r="C29" s="188" t="s">
        <v>463</v>
      </c>
      <c r="D29" s="188" t="s">
        <v>461</v>
      </c>
      <c r="E29" s="205" t="s">
        <v>430</v>
      </c>
      <c r="F29" s="208" t="str">
        <f>VLOOKUP($E29,'Master Food List'!master_food_list,21,FALSE)</f>
        <v>Alpine Aire</v>
      </c>
      <c r="G29" s="208" t="str">
        <f>VLOOKUP($E29,'Master Food List'!master_food_list,22,FALSE)</f>
        <v>Alpine Aire</v>
      </c>
      <c r="H29" s="208" t="str">
        <f>VLOOKUP($E29,'Master Food List'!master_food_list,4,FALSE)</f>
        <v>Pouch</v>
      </c>
      <c r="J29" s="259" t="s">
        <v>433</v>
      </c>
      <c r="K29" s="251"/>
      <c r="L29" s="251"/>
      <c r="M29" s="251"/>
      <c r="N29" s="251"/>
      <c r="O29" s="251"/>
      <c r="P29" s="251"/>
      <c r="Q29" s="251"/>
      <c r="R29" s="251"/>
      <c r="S29" s="251"/>
      <c r="T29" s="251"/>
      <c r="U29" s="251">
        <v>14</v>
      </c>
      <c r="V29" s="251"/>
      <c r="W29" s="251"/>
      <c r="X29"/>
      <c r="Y29"/>
      <c r="Z29"/>
    </row>
    <row r="30" spans="1:26" ht="16" customHeight="1" x14ac:dyDescent="0.2">
      <c r="A30" s="208" t="s">
        <v>509</v>
      </c>
      <c r="B30" s="171">
        <v>4</v>
      </c>
      <c r="C30" s="188" t="s">
        <v>463</v>
      </c>
      <c r="D30" s="188" t="s">
        <v>460</v>
      </c>
      <c r="E30" s="205"/>
      <c r="F30" s="208" t="e">
        <f>VLOOKUP($E30,'Master Food List'!master_food_list,21,FALSE)</f>
        <v>#N/A</v>
      </c>
      <c r="G30" s="208" t="e">
        <f>VLOOKUP($E30,'Master Food List'!master_food_list,22,FALSE)</f>
        <v>#N/A</v>
      </c>
      <c r="H30" s="208" t="e">
        <f>VLOOKUP($E30,'Master Food List'!master_food_list,4,FALSE)</f>
        <v>#N/A</v>
      </c>
      <c r="J30" s="250" t="s">
        <v>436</v>
      </c>
      <c r="K30" s="251"/>
      <c r="L30" s="251"/>
      <c r="M30" s="251"/>
      <c r="N30" s="251"/>
      <c r="O30" s="251"/>
      <c r="P30" s="251"/>
      <c r="Q30" s="251"/>
      <c r="R30" s="251"/>
      <c r="S30" s="251"/>
      <c r="T30" s="251"/>
      <c r="U30" s="251">
        <v>2</v>
      </c>
      <c r="V30" s="251"/>
      <c r="W30" s="251"/>
      <c r="X30"/>
      <c r="Y30"/>
      <c r="Z30"/>
    </row>
    <row r="31" spans="1:26" ht="32" customHeight="1" x14ac:dyDescent="0.2">
      <c r="A31" s="208" t="s">
        <v>509</v>
      </c>
      <c r="B31" s="171">
        <v>4</v>
      </c>
      <c r="C31" s="188" t="s">
        <v>463</v>
      </c>
      <c r="D31" s="188" t="s">
        <v>459</v>
      </c>
      <c r="E31" s="205" t="s">
        <v>347</v>
      </c>
      <c r="F31" s="208" t="str">
        <f>VLOOKUP($E31,'Master Food List'!master_food_list,21,FALSE)</f>
        <v>Thrive Life</v>
      </c>
      <c r="G31" s="208" t="str">
        <f>VLOOKUP($E31,'Master Food List'!master_food_list,22,FALSE)</f>
        <v>Thrive Life</v>
      </c>
      <c r="H31" s="208" t="str">
        <f>VLOOKUP($E31,'Master Food List'!master_food_list,4,FALSE)</f>
        <v>Pouch</v>
      </c>
      <c r="J31" s="259" t="s">
        <v>430</v>
      </c>
      <c r="K31" s="251"/>
      <c r="L31" s="251"/>
      <c r="M31" s="251"/>
      <c r="N31" s="251"/>
      <c r="O31" s="251"/>
      <c r="P31" s="251"/>
      <c r="Q31" s="251"/>
      <c r="R31" s="251"/>
      <c r="S31" s="251"/>
      <c r="T31" s="251"/>
      <c r="U31" s="251">
        <v>16</v>
      </c>
      <c r="V31" s="251"/>
      <c r="W31" s="251"/>
      <c r="X31"/>
      <c r="Y31"/>
      <c r="Z31"/>
    </row>
    <row r="32" spans="1:26" ht="16" customHeight="1" x14ac:dyDescent="0.2">
      <c r="A32" s="208" t="s">
        <v>509</v>
      </c>
      <c r="B32" s="171">
        <v>4</v>
      </c>
      <c r="C32" s="188" t="s">
        <v>463</v>
      </c>
      <c r="D32" s="188" t="s">
        <v>458</v>
      </c>
      <c r="E32" s="205" t="s">
        <v>294</v>
      </c>
      <c r="F32" s="208" t="str">
        <f>VLOOKUP($E32,'Master Food List'!master_food_list,21,FALSE)</f>
        <v>Mountain House</v>
      </c>
      <c r="G32" s="208" t="str">
        <f>VLOOKUP($E32,'Master Food List'!master_food_list,22,FALSE)</f>
        <v>Amazon</v>
      </c>
      <c r="H32" s="208" t="str">
        <f>VLOOKUP($E32,'Master Food List'!master_food_list,4,FALSE)</f>
        <v>#10 Can*</v>
      </c>
      <c r="J32" s="250" t="s">
        <v>449</v>
      </c>
      <c r="K32" s="251"/>
      <c r="L32" s="251"/>
      <c r="M32" s="251"/>
      <c r="N32" s="251"/>
      <c r="O32" s="251"/>
      <c r="P32" s="251"/>
      <c r="Q32" s="251"/>
      <c r="R32" s="251"/>
      <c r="S32" s="251"/>
      <c r="T32" s="251"/>
      <c r="U32" s="251">
        <v>4</v>
      </c>
      <c r="V32" s="251"/>
      <c r="W32" s="251"/>
      <c r="X32"/>
      <c r="Y32"/>
      <c r="Z32"/>
    </row>
    <row r="33" spans="1:26" ht="32" customHeight="1" x14ac:dyDescent="0.2">
      <c r="A33" s="208" t="s">
        <v>509</v>
      </c>
      <c r="B33" s="171">
        <v>4</v>
      </c>
      <c r="C33" s="188" t="s">
        <v>463</v>
      </c>
      <c r="D33" s="188" t="s">
        <v>457</v>
      </c>
      <c r="E33" s="205" t="s">
        <v>479</v>
      </c>
      <c r="F33" s="208" t="str">
        <f>VLOOKUP($E33,'Master Food List'!master_food_list,21,FALSE)</f>
        <v>Justin's</v>
      </c>
      <c r="G33" s="208" t="str">
        <f>VLOOKUP($E33,'Master Food List'!master_food_list,22,FALSE)</f>
        <v>Amazon</v>
      </c>
      <c r="H33" s="208" t="str">
        <f>VLOOKUP($E33,'Master Food List'!master_food_list,4,FALSE)</f>
        <v>Jar</v>
      </c>
      <c r="J33" s="194" t="s">
        <v>234</v>
      </c>
      <c r="K33" s="198"/>
      <c r="L33" s="198"/>
      <c r="M33" s="198"/>
      <c r="N33" s="198"/>
      <c r="O33" s="198"/>
      <c r="P33" s="198"/>
      <c r="Q33" s="198"/>
      <c r="R33" s="198"/>
      <c r="S33" s="198"/>
      <c r="T33" s="198"/>
      <c r="U33" s="198"/>
      <c r="V33" s="198"/>
      <c r="W33" s="198"/>
      <c r="X33"/>
      <c r="Y33"/>
      <c r="Z33"/>
    </row>
    <row r="34" spans="1:26" ht="16" customHeight="1" x14ac:dyDescent="0.2">
      <c r="A34" s="208" t="s">
        <v>509</v>
      </c>
      <c r="B34" s="171">
        <v>4</v>
      </c>
      <c r="C34" s="188" t="s">
        <v>463</v>
      </c>
      <c r="D34" s="188" t="s">
        <v>455</v>
      </c>
      <c r="E34" s="205" t="s">
        <v>313</v>
      </c>
      <c r="F34" s="208" t="str">
        <f>VLOOKUP($E34,'Master Food List'!master_food_list,21,FALSE)</f>
        <v>Mountain House</v>
      </c>
      <c r="G34" s="208" t="str">
        <f>VLOOKUP($E34,'Master Food List'!master_food_list,22,FALSE)</f>
        <v>Amazon</v>
      </c>
      <c r="H34" s="208" t="str">
        <f>VLOOKUP($E34,'Master Food List'!master_food_list,4,FALSE)</f>
        <v>12-pack</v>
      </c>
      <c r="J34" s="195" t="s">
        <v>268</v>
      </c>
      <c r="K34" s="198"/>
      <c r="L34" s="198"/>
      <c r="M34" s="198"/>
      <c r="N34" s="198"/>
      <c r="O34" s="198"/>
      <c r="P34" s="198"/>
      <c r="Q34" s="198"/>
      <c r="R34" s="198"/>
      <c r="S34" s="198"/>
      <c r="T34" s="198"/>
      <c r="U34" s="198"/>
      <c r="V34" s="198"/>
      <c r="W34" s="198"/>
      <c r="X34"/>
      <c r="Y34"/>
      <c r="Z34"/>
    </row>
    <row r="35" spans="1:26" ht="16" customHeight="1" x14ac:dyDescent="0.2">
      <c r="A35" s="208" t="s">
        <v>509</v>
      </c>
      <c r="B35" s="170">
        <v>5</v>
      </c>
      <c r="C35" s="168" t="s">
        <v>463</v>
      </c>
      <c r="D35" s="168" t="s">
        <v>462</v>
      </c>
      <c r="E35" s="193" t="s">
        <v>414</v>
      </c>
      <c r="F35" s="208" t="str">
        <f>VLOOKUP($E35,'Master Food List'!master_food_list,21,FALSE)</f>
        <v>Snickers</v>
      </c>
      <c r="G35" s="208" t="str">
        <f>VLOOKUP($E35,'Master Food List'!master_food_list,22,FALSE)</f>
        <v>Acme</v>
      </c>
      <c r="H35" s="208" t="str">
        <f>VLOOKUP($E35,'Master Food List'!master_food_list,4,FALSE)</f>
        <v>Bar</v>
      </c>
      <c r="J35" s="250" t="s">
        <v>409</v>
      </c>
      <c r="K35" s="251"/>
      <c r="L35" s="251">
        <v>6</v>
      </c>
      <c r="M35" s="251"/>
      <c r="N35" s="251"/>
      <c r="O35" s="251"/>
      <c r="P35" s="251"/>
      <c r="Q35" s="251"/>
      <c r="R35" s="251"/>
      <c r="S35" s="251"/>
      <c r="T35" s="251"/>
      <c r="U35" s="251"/>
      <c r="V35" s="251"/>
      <c r="W35" s="251"/>
      <c r="X35"/>
      <c r="Y35"/>
      <c r="Z35"/>
    </row>
    <row r="36" spans="1:26" ht="32" customHeight="1" x14ac:dyDescent="0.2">
      <c r="A36" s="208" t="s">
        <v>509</v>
      </c>
      <c r="B36" s="170">
        <v>5</v>
      </c>
      <c r="C36" s="168" t="s">
        <v>463</v>
      </c>
      <c r="D36" s="168" t="s">
        <v>461</v>
      </c>
      <c r="E36" s="193" t="s">
        <v>354</v>
      </c>
      <c r="F36" s="208" t="str">
        <f>VLOOKUP($E36,'Master Food List'!master_food_list,21,FALSE)</f>
        <v>Thrive Life</v>
      </c>
      <c r="G36" s="208" t="str">
        <f>VLOOKUP($E36,'Master Food List'!master_food_list,22,FALSE)</f>
        <v>Thrive Life</v>
      </c>
      <c r="H36" s="208" t="str">
        <f>VLOOKUP($E36,'Master Food List'!master_food_list,4,FALSE)</f>
        <v>Pouch</v>
      </c>
      <c r="J36" s="250" t="s">
        <v>503</v>
      </c>
      <c r="K36" s="251"/>
      <c r="L36" s="251"/>
      <c r="M36" s="251"/>
      <c r="N36" s="251"/>
      <c r="O36" s="251"/>
      <c r="P36" s="251"/>
      <c r="Q36" s="251"/>
      <c r="R36" s="251"/>
      <c r="S36" s="251"/>
      <c r="T36" s="251"/>
      <c r="U36" s="251">
        <v>3</v>
      </c>
      <c r="V36" s="251"/>
      <c r="W36" s="251"/>
      <c r="X36"/>
      <c r="Y36"/>
      <c r="Z36"/>
    </row>
    <row r="37" spans="1:26" ht="16" customHeight="1" x14ac:dyDescent="0.2">
      <c r="A37" s="208" t="s">
        <v>509</v>
      </c>
      <c r="B37" s="170">
        <v>5</v>
      </c>
      <c r="C37" s="168" t="s">
        <v>463</v>
      </c>
      <c r="D37" s="168" t="s">
        <v>460</v>
      </c>
      <c r="E37" s="193"/>
      <c r="F37" s="208" t="e">
        <f>VLOOKUP($E37,'Master Food List'!master_food_list,21,FALSE)</f>
        <v>#N/A</v>
      </c>
      <c r="G37" s="208" t="e">
        <f>VLOOKUP($E37,'Master Food List'!master_food_list,22,FALSE)</f>
        <v>#N/A</v>
      </c>
      <c r="H37" s="208" t="e">
        <f>VLOOKUP($E37,'Master Food List'!master_food_list,4,FALSE)</f>
        <v>#N/A</v>
      </c>
      <c r="J37" s="195" t="s">
        <v>323</v>
      </c>
      <c r="K37" s="198"/>
      <c r="L37" s="198"/>
      <c r="M37" s="198"/>
      <c r="N37" s="198"/>
      <c r="O37" s="198"/>
      <c r="P37" s="198"/>
      <c r="Q37" s="198"/>
      <c r="R37" s="198"/>
      <c r="S37" s="198"/>
      <c r="T37" s="198"/>
      <c r="U37" s="198"/>
      <c r="V37" s="198"/>
      <c r="W37" s="198"/>
      <c r="X37"/>
      <c r="Y37"/>
      <c r="Z37"/>
    </row>
    <row r="38" spans="1:26" ht="32" customHeight="1" x14ac:dyDescent="0.2">
      <c r="A38" s="208" t="s">
        <v>509</v>
      </c>
      <c r="B38" s="170">
        <v>5</v>
      </c>
      <c r="C38" s="168" t="s">
        <v>463</v>
      </c>
      <c r="D38" s="168" t="s">
        <v>459</v>
      </c>
      <c r="E38" s="193" t="s">
        <v>487</v>
      </c>
      <c r="F38" s="208" t="str">
        <f>VLOOKUP($E38,'Master Food List'!master_food_list,21,FALSE)</f>
        <v>Krave</v>
      </c>
      <c r="G38" s="208" t="str">
        <f>VLOOKUP($E38,'Master Food List'!master_food_list,22,FALSE)</f>
        <v>Amazon</v>
      </c>
      <c r="H38" s="208" t="str">
        <f>VLOOKUP($E38,'Master Food List'!master_food_list,4,FALSE)</f>
        <v>Pack of 8</v>
      </c>
      <c r="J38" s="258" t="s">
        <v>327</v>
      </c>
      <c r="K38" s="198"/>
      <c r="L38" s="198"/>
      <c r="M38" s="198"/>
      <c r="N38" s="198"/>
      <c r="O38" s="198"/>
      <c r="P38" s="198"/>
      <c r="Q38" s="198"/>
      <c r="R38" s="198">
        <v>8</v>
      </c>
      <c r="S38" s="198"/>
      <c r="T38" s="198"/>
      <c r="U38" s="198"/>
      <c r="V38" s="198"/>
      <c r="W38" s="198"/>
      <c r="X38"/>
      <c r="Y38"/>
      <c r="Z38"/>
    </row>
    <row r="39" spans="1:26" ht="16" customHeight="1" x14ac:dyDescent="0.2">
      <c r="A39" s="208" t="s">
        <v>509</v>
      </c>
      <c r="B39" s="170">
        <v>5</v>
      </c>
      <c r="C39" s="168" t="s">
        <v>463</v>
      </c>
      <c r="D39" s="168" t="s">
        <v>458</v>
      </c>
      <c r="E39" s="193" t="s">
        <v>486</v>
      </c>
      <c r="F39" s="208" t="str">
        <f>VLOOKUP($E39,'Master Food List'!master_food_list,21,FALSE)</f>
        <v>Backpacker's Pantry</v>
      </c>
      <c r="G39" s="208" t="str">
        <f>VLOOKUP($E39,'Master Food List'!master_food_list,22,FALSE)</f>
        <v>Backpacker's Pantry</v>
      </c>
      <c r="H39" s="208" t="str">
        <f>VLOOKUP($E39,'Master Food List'!master_food_list,4,FALSE)</f>
        <v>Pouch</v>
      </c>
      <c r="J39" s="258" t="s">
        <v>325</v>
      </c>
      <c r="K39" s="198"/>
      <c r="L39" s="198"/>
      <c r="M39" s="198"/>
      <c r="N39" s="198"/>
      <c r="O39" s="198"/>
      <c r="P39" s="198"/>
      <c r="Q39" s="198"/>
      <c r="R39" s="198">
        <v>5</v>
      </c>
      <c r="S39" s="198"/>
      <c r="T39" s="198"/>
      <c r="U39" s="198"/>
      <c r="V39" s="198"/>
      <c r="W39" s="198"/>
      <c r="X39"/>
      <c r="Y39"/>
      <c r="Z39"/>
    </row>
    <row r="40" spans="1:26" ht="17" x14ac:dyDescent="0.2">
      <c r="A40" s="208" t="s">
        <v>509</v>
      </c>
      <c r="B40" s="170">
        <v>5</v>
      </c>
      <c r="C40" s="168" t="s">
        <v>463</v>
      </c>
      <c r="D40" s="168" t="s">
        <v>457</v>
      </c>
      <c r="E40" s="193" t="s">
        <v>479</v>
      </c>
      <c r="F40" s="208" t="str">
        <f>VLOOKUP($E40,'Master Food List'!master_food_list,21,FALSE)</f>
        <v>Justin's</v>
      </c>
      <c r="G40" s="208" t="str">
        <f>VLOOKUP($E40,'Master Food List'!master_food_list,22,FALSE)</f>
        <v>Amazon</v>
      </c>
      <c r="H40" s="208" t="str">
        <f>VLOOKUP($E40,'Master Food List'!master_food_list,4,FALSE)</f>
        <v>Jar</v>
      </c>
      <c r="J40" s="195" t="s">
        <v>300</v>
      </c>
      <c r="K40" s="198"/>
      <c r="L40" s="198"/>
      <c r="M40" s="198"/>
      <c r="N40" s="198"/>
      <c r="O40" s="198"/>
      <c r="P40" s="198"/>
      <c r="Q40" s="198"/>
      <c r="R40" s="198"/>
      <c r="S40" s="198"/>
      <c r="T40" s="198"/>
      <c r="U40" s="198"/>
      <c r="V40" s="198"/>
      <c r="W40" s="198"/>
      <c r="X40"/>
      <c r="Y40"/>
      <c r="Z40"/>
    </row>
    <row r="41" spans="1:26" ht="17" x14ac:dyDescent="0.2">
      <c r="A41" s="208" t="s">
        <v>509</v>
      </c>
      <c r="B41" s="170">
        <v>5</v>
      </c>
      <c r="C41" s="168" t="s">
        <v>463</v>
      </c>
      <c r="D41" s="168" t="s">
        <v>455</v>
      </c>
      <c r="E41" s="193" t="s">
        <v>482</v>
      </c>
      <c r="F41" s="208" t="str">
        <f>VLOOKUP($E41,'Master Food List'!master_food_list,21,FALSE)</f>
        <v>Swiss Miss</v>
      </c>
      <c r="G41" s="208" t="str">
        <f>VLOOKUP($E41,'Master Food List'!master_food_list,22,FALSE)</f>
        <v>Amazon</v>
      </c>
      <c r="H41" s="208" t="str">
        <f>VLOOKUP($E41,'Master Food List'!master_food_list,4,FALSE)</f>
        <v>Pack of 3 boxes</v>
      </c>
      <c r="J41" s="250" t="s">
        <v>487</v>
      </c>
      <c r="K41" s="251"/>
      <c r="L41" s="251"/>
      <c r="M41" s="251"/>
      <c r="N41" s="251"/>
      <c r="O41" s="251"/>
      <c r="P41" s="251"/>
      <c r="Q41" s="251"/>
      <c r="R41" s="251"/>
      <c r="S41" s="251">
        <v>3</v>
      </c>
      <c r="T41" s="251"/>
      <c r="U41" s="251"/>
      <c r="V41" s="251"/>
      <c r="W41" s="251"/>
      <c r="X41"/>
      <c r="Y41"/>
      <c r="Z41"/>
    </row>
    <row r="42" spans="1:26" ht="17" x14ac:dyDescent="0.2">
      <c r="A42" s="208" t="s">
        <v>509</v>
      </c>
      <c r="B42" s="170">
        <v>6</v>
      </c>
      <c r="C42" s="168" t="s">
        <v>463</v>
      </c>
      <c r="D42" s="168" t="s">
        <v>462</v>
      </c>
      <c r="E42" s="193" t="s">
        <v>481</v>
      </c>
      <c r="F42" s="208" t="str">
        <f>VLOOKUP($E42,'Master Food List'!master_food_list,21,FALSE)</f>
        <v>Kellog's</v>
      </c>
      <c r="G42" s="208" t="str">
        <f>VLOOKUP($E42,'Master Food List'!master_food_list,22,FALSE)</f>
        <v>Acme</v>
      </c>
      <c r="H42" s="208" t="str">
        <f>VLOOKUP($E42,'Master Food List'!master_food_list,4,FALSE)</f>
        <v>pkg</v>
      </c>
      <c r="J42" s="250" t="s">
        <v>490</v>
      </c>
      <c r="K42" s="251"/>
      <c r="L42" s="251"/>
      <c r="M42" s="251"/>
      <c r="N42" s="251"/>
      <c r="O42" s="251"/>
      <c r="P42" s="251"/>
      <c r="Q42" s="251"/>
      <c r="R42" s="251"/>
      <c r="S42" s="251">
        <v>3</v>
      </c>
      <c r="T42" s="251"/>
      <c r="U42" s="251"/>
      <c r="V42" s="251"/>
      <c r="W42" s="251"/>
      <c r="X42"/>
      <c r="Y42"/>
      <c r="Z42"/>
    </row>
    <row r="43" spans="1:26" ht="34" x14ac:dyDescent="0.2">
      <c r="A43" s="208" t="s">
        <v>509</v>
      </c>
      <c r="B43" s="170">
        <v>6</v>
      </c>
      <c r="C43" s="168" t="s">
        <v>463</v>
      </c>
      <c r="D43" s="168" t="s">
        <v>461</v>
      </c>
      <c r="E43" s="193" t="s">
        <v>333</v>
      </c>
      <c r="F43" s="208" t="str">
        <f>VLOOKUP($E43,'Master Food List'!master_food_list,21,FALSE)</f>
        <v>Thrive Life</v>
      </c>
      <c r="G43" s="208" t="str">
        <f>VLOOKUP($E43,'Master Food List'!master_food_list,22,FALSE)</f>
        <v>Thrive Life</v>
      </c>
      <c r="H43" s="208" t="str">
        <f>VLOOKUP($E43,'Master Food List'!master_food_list,4,FALSE)</f>
        <v>Pouch</v>
      </c>
      <c r="J43" s="250" t="s">
        <v>489</v>
      </c>
      <c r="K43" s="251"/>
      <c r="L43" s="251"/>
      <c r="M43" s="251"/>
      <c r="N43" s="251"/>
      <c r="O43" s="251"/>
      <c r="P43" s="251"/>
      <c r="Q43" s="251"/>
      <c r="R43" s="251"/>
      <c r="S43" s="251">
        <v>5</v>
      </c>
      <c r="T43" s="251"/>
      <c r="U43" s="251"/>
      <c r="V43" s="251"/>
      <c r="W43" s="251"/>
      <c r="X43"/>
      <c r="Y43"/>
      <c r="Z43"/>
    </row>
    <row r="44" spans="1:26" ht="17" x14ac:dyDescent="0.2">
      <c r="A44" s="208" t="s">
        <v>509</v>
      </c>
      <c r="B44" s="170">
        <v>6</v>
      </c>
      <c r="C44" s="168" t="s">
        <v>463</v>
      </c>
      <c r="D44" s="168" t="s">
        <v>460</v>
      </c>
      <c r="E44" s="193"/>
      <c r="F44" s="208" t="e">
        <f>VLOOKUP($E44,'Master Food List'!master_food_list,21,FALSE)</f>
        <v>#N/A</v>
      </c>
      <c r="G44" s="208" t="e">
        <f>VLOOKUP($E44,'Master Food List'!master_food_list,22,FALSE)</f>
        <v>#N/A</v>
      </c>
      <c r="H44" s="208" t="e">
        <f>VLOOKUP($E44,'Master Food List'!master_food_list,4,FALSE)</f>
        <v>#N/A</v>
      </c>
      <c r="J44" s="195" t="s">
        <v>274</v>
      </c>
      <c r="K44" s="198"/>
      <c r="L44" s="198"/>
      <c r="M44" s="198"/>
      <c r="N44" s="198"/>
      <c r="O44" s="198"/>
      <c r="P44" s="198"/>
      <c r="Q44" s="198"/>
      <c r="R44" s="198"/>
      <c r="S44" s="198"/>
      <c r="T44" s="198"/>
      <c r="U44" s="198"/>
      <c r="V44" s="198"/>
      <c r="W44" s="198"/>
      <c r="X44"/>
      <c r="Y44"/>
      <c r="Z44"/>
    </row>
    <row r="45" spans="1:26" ht="34" x14ac:dyDescent="0.2">
      <c r="A45" s="208" t="s">
        <v>509</v>
      </c>
      <c r="B45" s="170">
        <v>6</v>
      </c>
      <c r="C45" s="168" t="s">
        <v>463</v>
      </c>
      <c r="D45" s="168" t="s">
        <v>459</v>
      </c>
      <c r="E45" s="193" t="s">
        <v>489</v>
      </c>
      <c r="F45" s="208" t="str">
        <f>VLOOKUP($E45,'Master Food List'!master_food_list,21,FALSE)</f>
        <v>Krave</v>
      </c>
      <c r="G45" s="208" t="str">
        <f>VLOOKUP($E45,'Master Food List'!master_food_list,22,FALSE)</f>
        <v>Amazon</v>
      </c>
      <c r="H45" s="208" t="str">
        <f>VLOOKUP($E45,'Master Food List'!master_food_list,4,FALSE)</f>
        <v>Pack of 8</v>
      </c>
      <c r="J45" s="250" t="s">
        <v>478</v>
      </c>
      <c r="K45" s="251"/>
      <c r="L45" s="251"/>
      <c r="M45" s="251"/>
      <c r="N45" s="251"/>
      <c r="O45" s="251">
        <v>9</v>
      </c>
      <c r="P45" s="251"/>
      <c r="Q45" s="251"/>
      <c r="R45" s="251"/>
      <c r="S45" s="251"/>
      <c r="T45" s="251"/>
      <c r="U45" s="251"/>
      <c r="V45" s="251"/>
      <c r="W45" s="251"/>
      <c r="X45"/>
      <c r="Y45"/>
      <c r="Z45"/>
    </row>
    <row r="46" spans="1:26" ht="17" x14ac:dyDescent="0.2">
      <c r="A46" s="208" t="s">
        <v>509</v>
      </c>
      <c r="B46" s="170">
        <v>6</v>
      </c>
      <c r="C46" s="168" t="s">
        <v>463</v>
      </c>
      <c r="D46" s="168" t="s">
        <v>458</v>
      </c>
      <c r="E46" s="193" t="s">
        <v>409</v>
      </c>
      <c r="F46" s="208" t="str">
        <f>VLOOKUP($E46,'Master Food List'!master_food_list,21,FALSE)</f>
        <v>Backpacker's Pantry</v>
      </c>
      <c r="G46" s="208" t="str">
        <f>VLOOKUP($E46,'Master Food List'!master_food_list,22,FALSE)</f>
        <v>Amazon</v>
      </c>
      <c r="H46" s="208" t="str">
        <f>VLOOKUP($E46,'Master Food List'!master_food_list,4,FALSE)</f>
        <v>#10 Can*</v>
      </c>
      <c r="J46" s="250" t="s">
        <v>491</v>
      </c>
      <c r="K46" s="251"/>
      <c r="L46" s="251"/>
      <c r="M46" s="251"/>
      <c r="N46" s="251"/>
      <c r="O46" s="251"/>
      <c r="P46" s="251"/>
      <c r="Q46" s="251"/>
      <c r="R46" s="251"/>
      <c r="S46" s="251"/>
      <c r="T46" s="251"/>
      <c r="U46" s="251">
        <v>3</v>
      </c>
      <c r="V46" s="251"/>
      <c r="W46" s="251"/>
      <c r="X46"/>
      <c r="Y46"/>
      <c r="Z46"/>
    </row>
    <row r="47" spans="1:26" ht="17" x14ac:dyDescent="0.2">
      <c r="A47" s="208" t="s">
        <v>509</v>
      </c>
      <c r="B47" s="170">
        <v>6</v>
      </c>
      <c r="C47" s="168" t="s">
        <v>463</v>
      </c>
      <c r="D47" s="168" t="s">
        <v>457</v>
      </c>
      <c r="E47" s="193" t="s">
        <v>479</v>
      </c>
      <c r="F47" s="208" t="str">
        <f>VLOOKUP($E47,'Master Food List'!master_food_list,21,FALSE)</f>
        <v>Justin's</v>
      </c>
      <c r="G47" s="208" t="str">
        <f>VLOOKUP($E47,'Master Food List'!master_food_list,22,FALSE)</f>
        <v>Amazon</v>
      </c>
      <c r="H47" s="208" t="str">
        <f>VLOOKUP($E47,'Master Food List'!master_food_list,4,FALSE)</f>
        <v>Jar</v>
      </c>
      <c r="J47" s="250" t="s">
        <v>492</v>
      </c>
      <c r="K47" s="251"/>
      <c r="L47" s="251"/>
      <c r="M47" s="251"/>
      <c r="N47" s="251"/>
      <c r="O47" s="251">
        <v>3</v>
      </c>
      <c r="P47" s="251"/>
      <c r="Q47" s="251"/>
      <c r="R47" s="251"/>
      <c r="S47" s="251"/>
      <c r="T47" s="251"/>
      <c r="U47" s="251"/>
      <c r="V47" s="251"/>
      <c r="W47" s="251"/>
      <c r="X47"/>
      <c r="Y47"/>
      <c r="Z47"/>
    </row>
    <row r="48" spans="1:26" ht="17" x14ac:dyDescent="0.2">
      <c r="A48" s="208" t="s">
        <v>509</v>
      </c>
      <c r="B48" s="170">
        <v>6</v>
      </c>
      <c r="C48" s="168" t="s">
        <v>463</v>
      </c>
      <c r="D48" s="168" t="s">
        <v>455</v>
      </c>
      <c r="E48" s="193" t="s">
        <v>478</v>
      </c>
      <c r="F48" s="208" t="str">
        <f>VLOOKUP($E48,'Master Food List'!master_food_list,21,FALSE)</f>
        <v>Mountain House</v>
      </c>
      <c r="G48" s="208" t="str">
        <f>VLOOKUP($E48,'Master Food List'!master_food_list,22,FALSE)</f>
        <v>Amazon</v>
      </c>
      <c r="H48" s="208" t="str">
        <f>VLOOKUP($E48,'Master Food List'!master_food_list,4,FALSE)</f>
        <v>6-Pack</v>
      </c>
      <c r="J48" s="250" t="s">
        <v>336</v>
      </c>
      <c r="K48" s="251"/>
      <c r="L48" s="251">
        <v>4</v>
      </c>
      <c r="M48" s="251"/>
      <c r="N48" s="251"/>
      <c r="O48" s="251"/>
      <c r="P48" s="251"/>
      <c r="Q48" s="251"/>
      <c r="R48" s="251"/>
      <c r="S48" s="251"/>
      <c r="T48" s="251"/>
      <c r="U48" s="251"/>
      <c r="V48" s="251"/>
      <c r="W48" s="251"/>
      <c r="X48"/>
      <c r="Y48"/>
      <c r="Z48"/>
    </row>
    <row r="49" spans="1:26" ht="17" x14ac:dyDescent="0.2">
      <c r="A49" s="208" t="s">
        <v>509</v>
      </c>
      <c r="B49" s="170">
        <v>7</v>
      </c>
      <c r="C49" s="168" t="s">
        <v>463</v>
      </c>
      <c r="D49" s="168" t="s">
        <v>462</v>
      </c>
      <c r="E49" s="193" t="s">
        <v>485</v>
      </c>
      <c r="F49" s="208" t="str">
        <f>VLOOKUP($E49,'Master Food List'!master_food_list,21,FALSE)</f>
        <v>Mountain House</v>
      </c>
      <c r="G49" s="208" t="str">
        <f>VLOOKUP($E49,'Master Food List'!master_food_list,22,FALSE)</f>
        <v>Amazon</v>
      </c>
      <c r="H49" s="208" t="str">
        <f>VLOOKUP($E49,'Master Food List'!master_food_list,4,FALSE)</f>
        <v>#10 Can*</v>
      </c>
      <c r="J49" s="250" t="s">
        <v>485</v>
      </c>
      <c r="K49" s="251"/>
      <c r="L49" s="251">
        <v>15</v>
      </c>
      <c r="M49" s="251"/>
      <c r="N49" s="251"/>
      <c r="O49" s="251"/>
      <c r="P49" s="251"/>
      <c r="Q49" s="251"/>
      <c r="R49" s="251"/>
      <c r="S49" s="251"/>
      <c r="T49" s="251"/>
      <c r="U49" s="251"/>
      <c r="V49" s="251"/>
      <c r="W49" s="251"/>
      <c r="X49"/>
      <c r="Y49"/>
      <c r="Z49"/>
    </row>
    <row r="50" spans="1:26" ht="34" x14ac:dyDescent="0.2">
      <c r="A50" s="208" t="s">
        <v>509</v>
      </c>
      <c r="B50" s="170">
        <v>7</v>
      </c>
      <c r="C50" s="168" t="s">
        <v>463</v>
      </c>
      <c r="D50" s="168" t="s">
        <v>461</v>
      </c>
      <c r="E50" s="193" t="s">
        <v>414</v>
      </c>
      <c r="F50" s="208" t="str">
        <f>VLOOKUP($E50,'Master Food List'!master_food_list,21,FALSE)</f>
        <v>Snickers</v>
      </c>
      <c r="G50" s="208" t="str">
        <f>VLOOKUP($E50,'Master Food List'!master_food_list,22,FALSE)</f>
        <v>Acme</v>
      </c>
      <c r="H50" s="208" t="str">
        <f>VLOOKUP($E50,'Master Food List'!master_food_list,4,FALSE)</f>
        <v>Bar</v>
      </c>
      <c r="J50" s="250" t="s">
        <v>313</v>
      </c>
      <c r="K50" s="251"/>
      <c r="L50" s="251"/>
      <c r="M50" s="251">
        <v>9</v>
      </c>
      <c r="N50" s="251"/>
      <c r="O50" s="251"/>
      <c r="P50" s="251"/>
      <c r="Q50" s="251"/>
      <c r="R50" s="251"/>
      <c r="S50" s="251"/>
      <c r="T50" s="251"/>
      <c r="U50" s="251"/>
      <c r="V50" s="251"/>
      <c r="W50" s="251"/>
      <c r="X50"/>
      <c r="Y50"/>
      <c r="Z50"/>
    </row>
    <row r="51" spans="1:26" ht="17" x14ac:dyDescent="0.2">
      <c r="A51" s="208" t="s">
        <v>509</v>
      </c>
      <c r="B51" s="170">
        <v>7</v>
      </c>
      <c r="C51" s="168" t="s">
        <v>463</v>
      </c>
      <c r="D51" s="168" t="s">
        <v>460</v>
      </c>
      <c r="E51" s="193"/>
      <c r="F51" s="208" t="e">
        <f>VLOOKUP($E51,'Master Food List'!master_food_list,21,FALSE)</f>
        <v>#N/A</v>
      </c>
      <c r="G51" s="208" t="e">
        <f>VLOOKUP($E51,'Master Food List'!master_food_list,22,FALSE)</f>
        <v>#N/A</v>
      </c>
      <c r="H51" s="208" t="e">
        <f>VLOOKUP($E51,'Master Food List'!master_food_list,4,FALSE)</f>
        <v>#N/A</v>
      </c>
      <c r="J51" s="250" t="s">
        <v>294</v>
      </c>
      <c r="K51" s="251"/>
      <c r="L51" s="251">
        <v>5</v>
      </c>
      <c r="M51" s="251"/>
      <c r="N51" s="251"/>
      <c r="O51" s="251"/>
      <c r="P51" s="251"/>
      <c r="Q51" s="251"/>
      <c r="R51" s="251"/>
      <c r="S51" s="251"/>
      <c r="T51" s="251"/>
      <c r="U51" s="251"/>
      <c r="V51" s="251"/>
      <c r="W51" s="251"/>
      <c r="X51"/>
      <c r="Y51"/>
      <c r="Z51"/>
    </row>
    <row r="52" spans="1:26" ht="34" x14ac:dyDescent="0.2">
      <c r="A52" s="208" t="s">
        <v>509</v>
      </c>
      <c r="B52" s="170">
        <v>7</v>
      </c>
      <c r="C52" s="168" t="s">
        <v>463</v>
      </c>
      <c r="D52" s="168" t="s">
        <v>459</v>
      </c>
      <c r="E52" s="193" t="s">
        <v>325</v>
      </c>
      <c r="F52" s="208" t="str">
        <f>VLOOKUP($E52,'Master Food List'!master_food_list,21,FALSE)</f>
        <v>Epic</v>
      </c>
      <c r="G52" s="208" t="str">
        <f>VLOOKUP($E52,'Master Food List'!master_food_list,22,FALSE)</f>
        <v>Amazon</v>
      </c>
      <c r="H52" s="208" t="str">
        <f>VLOOKUP($E52,'Master Food List'!master_food_list,4,FALSE)</f>
        <v>Pack of 12</v>
      </c>
      <c r="J52" s="195" t="s">
        <v>428</v>
      </c>
      <c r="K52" s="198"/>
      <c r="L52" s="198"/>
      <c r="M52" s="198"/>
      <c r="N52" s="198"/>
      <c r="O52" s="198"/>
      <c r="P52" s="198"/>
      <c r="Q52" s="198"/>
      <c r="R52" s="198"/>
      <c r="S52" s="198"/>
      <c r="T52" s="198"/>
      <c r="U52" s="198"/>
      <c r="V52" s="198"/>
      <c r="W52" s="198"/>
      <c r="X52"/>
      <c r="Y52"/>
      <c r="Z52"/>
    </row>
    <row r="53" spans="1:26" ht="17" x14ac:dyDescent="0.2">
      <c r="A53" s="208" t="s">
        <v>509</v>
      </c>
      <c r="B53" s="170">
        <v>7</v>
      </c>
      <c r="C53" s="168" t="s">
        <v>463</v>
      </c>
      <c r="D53" s="168" t="s">
        <v>458</v>
      </c>
      <c r="E53" s="193" t="s">
        <v>504</v>
      </c>
      <c r="F53" s="208" t="str">
        <f>VLOOKUP($E53,'Master Food List'!master_food_list,21,FALSE)</f>
        <v>Backpacker's Pantry</v>
      </c>
      <c r="G53" s="208" t="str">
        <f>VLOOKUP($E53,'Master Food List'!master_food_list,22,FALSE)</f>
        <v>Backpacker's Pantry</v>
      </c>
      <c r="H53" s="208" t="str">
        <f>VLOOKUP($E53,'Master Food List'!master_food_list,4,FALSE)</f>
        <v>Pouch</v>
      </c>
      <c r="J53" s="250" t="s">
        <v>427</v>
      </c>
      <c r="K53" s="251"/>
      <c r="L53" s="251"/>
      <c r="M53" s="251"/>
      <c r="N53" s="251"/>
      <c r="O53" s="251"/>
      <c r="P53" s="251"/>
      <c r="Q53" s="251">
        <v>9</v>
      </c>
      <c r="R53" s="251"/>
      <c r="S53" s="251"/>
      <c r="T53" s="251"/>
      <c r="U53" s="251"/>
      <c r="V53" s="251"/>
      <c r="W53" s="251"/>
      <c r="X53"/>
      <c r="Y53"/>
      <c r="Z53"/>
    </row>
    <row r="54" spans="1:26" ht="17" x14ac:dyDescent="0.2">
      <c r="A54" s="208" t="s">
        <v>509</v>
      </c>
      <c r="B54" s="170">
        <v>7</v>
      </c>
      <c r="C54" s="168" t="s">
        <v>463</v>
      </c>
      <c r="D54" s="168" t="s">
        <v>457</v>
      </c>
      <c r="E54" s="193" t="s">
        <v>479</v>
      </c>
      <c r="F54" s="208" t="str">
        <f>VLOOKUP($E54,'Master Food List'!master_food_list,21,FALSE)</f>
        <v>Justin's</v>
      </c>
      <c r="G54" s="208" t="str">
        <f>VLOOKUP($E54,'Master Food List'!master_food_list,22,FALSE)</f>
        <v>Amazon</v>
      </c>
      <c r="H54" s="208" t="str">
        <f>VLOOKUP($E54,'Master Food List'!master_food_list,4,FALSE)</f>
        <v>Jar</v>
      </c>
      <c r="J54" s="195" t="s">
        <v>511</v>
      </c>
      <c r="K54" s="198"/>
      <c r="L54" s="198"/>
      <c r="M54" s="198"/>
      <c r="N54" s="198"/>
      <c r="O54" s="198"/>
      <c r="P54" s="198"/>
      <c r="Q54" s="198"/>
      <c r="R54" s="198"/>
      <c r="S54" s="198"/>
      <c r="T54" s="198"/>
      <c r="U54" s="198"/>
      <c r="V54" s="198"/>
      <c r="W54" s="198"/>
      <c r="X54"/>
      <c r="Y54"/>
      <c r="Z54"/>
    </row>
    <row r="55" spans="1:26" ht="17" x14ac:dyDescent="0.2">
      <c r="A55" s="208" t="s">
        <v>509</v>
      </c>
      <c r="B55" s="170">
        <v>7</v>
      </c>
      <c r="C55" s="168" t="s">
        <v>463</v>
      </c>
      <c r="D55" s="168" t="s">
        <v>455</v>
      </c>
      <c r="E55" s="193" t="s">
        <v>505</v>
      </c>
      <c r="F55" s="208" t="str">
        <f>VLOOKUP($E55,'Master Food List'!master_food_list,21,FALSE)</f>
        <v>Backpacker's Pantry</v>
      </c>
      <c r="G55" s="208" t="str">
        <f>VLOOKUP($E55,'Master Food List'!master_food_list,22,FALSE)</f>
        <v>Backpacker's Pantry</v>
      </c>
      <c r="H55" s="208" t="str">
        <f>VLOOKUP($E55,'Master Food List'!master_food_list,4,FALSE)</f>
        <v>Pouch</v>
      </c>
      <c r="J55" s="250" t="s">
        <v>495</v>
      </c>
      <c r="K55" s="251">
        <v>14</v>
      </c>
      <c r="L55" s="251"/>
      <c r="M55" s="251"/>
      <c r="N55" s="251"/>
      <c r="O55" s="251"/>
      <c r="P55" s="251"/>
      <c r="Q55" s="251"/>
      <c r="R55" s="251"/>
      <c r="S55" s="251"/>
      <c r="T55" s="251"/>
      <c r="U55" s="251"/>
      <c r="V55" s="251"/>
      <c r="W55" s="251"/>
      <c r="X55"/>
      <c r="Y55"/>
      <c r="Z55"/>
    </row>
    <row r="56" spans="1:26" ht="17" x14ac:dyDescent="0.2">
      <c r="A56" s="208" t="s">
        <v>509</v>
      </c>
      <c r="B56" s="171">
        <v>8</v>
      </c>
      <c r="C56" s="188" t="s">
        <v>463</v>
      </c>
      <c r="D56" s="188" t="s">
        <v>462</v>
      </c>
      <c r="E56" s="205" t="s">
        <v>480</v>
      </c>
      <c r="F56" s="208" t="str">
        <f>VLOOKUP($E56,'Master Food List'!master_food_list,21,FALSE)</f>
        <v>Backpacker's Pantry</v>
      </c>
      <c r="G56" s="208" t="str">
        <f>VLOOKUP($E56,'Master Food List'!master_food_list,22,FALSE)</f>
        <v>Backpacker's Pantry</v>
      </c>
      <c r="H56" s="208" t="str">
        <f>VLOOKUP($E56,'Master Food List'!master_food_list,4,FALSE)</f>
        <v>Pouch</v>
      </c>
      <c r="J56" s="195" t="s">
        <v>314</v>
      </c>
      <c r="K56" s="198"/>
      <c r="L56" s="198"/>
      <c r="M56" s="198"/>
      <c r="N56" s="198"/>
      <c r="O56" s="198"/>
      <c r="P56" s="198"/>
      <c r="Q56" s="198"/>
      <c r="R56" s="198"/>
      <c r="S56" s="198"/>
      <c r="T56" s="198"/>
      <c r="U56" s="198"/>
      <c r="V56" s="198"/>
      <c r="W56" s="198"/>
      <c r="X56"/>
      <c r="Y56"/>
      <c r="Z56"/>
    </row>
    <row r="57" spans="1:26" ht="34" x14ac:dyDescent="0.2">
      <c r="A57" s="208" t="s">
        <v>509</v>
      </c>
      <c r="B57" s="171">
        <v>8</v>
      </c>
      <c r="C57" s="188" t="s">
        <v>463</v>
      </c>
      <c r="D57" s="188" t="s">
        <v>461</v>
      </c>
      <c r="E57" s="205" t="s">
        <v>430</v>
      </c>
      <c r="F57" s="208" t="str">
        <f>VLOOKUP($E57,'Master Food List'!master_food_list,21,FALSE)</f>
        <v>Alpine Aire</v>
      </c>
      <c r="G57" s="208" t="str">
        <f>VLOOKUP($E57,'Master Food List'!master_food_list,22,FALSE)</f>
        <v>Alpine Aire</v>
      </c>
      <c r="H57" s="208" t="str">
        <f>VLOOKUP($E57,'Master Food List'!master_food_list,4,FALSE)</f>
        <v>Pouch</v>
      </c>
      <c r="J57" s="250" t="s">
        <v>482</v>
      </c>
      <c r="K57" s="251"/>
      <c r="L57" s="251"/>
      <c r="M57" s="251"/>
      <c r="N57" s="251"/>
      <c r="O57" s="251"/>
      <c r="P57" s="251"/>
      <c r="Q57" s="251"/>
      <c r="R57" s="251"/>
      <c r="S57" s="251"/>
      <c r="T57" s="251"/>
      <c r="U57" s="251"/>
      <c r="V57" s="251"/>
      <c r="W57" s="251">
        <v>21</v>
      </c>
      <c r="X57"/>
      <c r="Y57"/>
      <c r="Z57"/>
    </row>
    <row r="58" spans="1:26" ht="17" x14ac:dyDescent="0.2">
      <c r="A58" s="208" t="s">
        <v>509</v>
      </c>
      <c r="B58" s="171">
        <v>8</v>
      </c>
      <c r="C58" s="188" t="s">
        <v>463</v>
      </c>
      <c r="D58" s="188" t="s">
        <v>460</v>
      </c>
      <c r="E58" s="205"/>
      <c r="F58" s="208" t="e">
        <f>VLOOKUP($E58,'Master Food List'!master_food_list,21,FALSE)</f>
        <v>#N/A</v>
      </c>
      <c r="G58" s="208" t="e">
        <f>VLOOKUP($E58,'Master Food List'!master_food_list,22,FALSE)</f>
        <v>#N/A</v>
      </c>
      <c r="H58" s="208" t="e">
        <f>VLOOKUP($E58,'Master Food List'!master_food_list,4,FALSE)</f>
        <v>#N/A</v>
      </c>
      <c r="J58" s="194" t="s">
        <v>268</v>
      </c>
      <c r="K58" s="198"/>
      <c r="L58" s="198"/>
      <c r="M58" s="198"/>
      <c r="N58" s="198"/>
      <c r="O58" s="198"/>
      <c r="P58" s="198"/>
      <c r="Q58" s="198"/>
      <c r="R58" s="198"/>
      <c r="S58" s="198"/>
      <c r="T58" s="198"/>
      <c r="U58" s="198"/>
      <c r="V58" s="198"/>
      <c r="W58" s="198"/>
      <c r="X58"/>
      <c r="Y58"/>
      <c r="Z58"/>
    </row>
    <row r="59" spans="1:26" ht="34" x14ac:dyDescent="0.2">
      <c r="A59" s="208" t="s">
        <v>509</v>
      </c>
      <c r="B59" s="171">
        <v>8</v>
      </c>
      <c r="C59" s="188" t="s">
        <v>463</v>
      </c>
      <c r="D59" s="188" t="s">
        <v>459</v>
      </c>
      <c r="E59" s="205" t="s">
        <v>433</v>
      </c>
      <c r="F59" s="208" t="str">
        <f>VLOOKUP($E59,'Master Food List'!master_food_list,21,FALSE)</f>
        <v>Alpine Aire</v>
      </c>
      <c r="G59" s="208" t="str">
        <f>VLOOKUP($E59,'Master Food List'!master_food_list,22,FALSE)</f>
        <v>Alpine Aire</v>
      </c>
      <c r="H59" s="208" t="str">
        <f>VLOOKUP($E59,'Master Food List'!master_food_list,4,FALSE)</f>
        <v>Pouch</v>
      </c>
      <c r="J59" s="195" t="s">
        <v>268</v>
      </c>
      <c r="K59" s="198"/>
      <c r="L59" s="198"/>
      <c r="M59" s="198"/>
      <c r="N59" s="198"/>
      <c r="O59" s="198"/>
      <c r="P59" s="198"/>
      <c r="Q59" s="198"/>
      <c r="R59" s="198"/>
      <c r="S59" s="198"/>
      <c r="T59" s="198"/>
      <c r="U59" s="198"/>
      <c r="V59" s="198"/>
      <c r="W59" s="198"/>
      <c r="X59"/>
      <c r="Y59"/>
      <c r="Z59"/>
    </row>
    <row r="60" spans="1:26" ht="17" x14ac:dyDescent="0.2">
      <c r="A60" s="208" t="s">
        <v>509</v>
      </c>
      <c r="B60" s="171">
        <v>8</v>
      </c>
      <c r="C60" s="188" t="s">
        <v>463</v>
      </c>
      <c r="D60" s="188" t="s">
        <v>458</v>
      </c>
      <c r="E60" s="205" t="s">
        <v>503</v>
      </c>
      <c r="F60" s="208" t="str">
        <f>VLOOKUP($E60,'Master Food List'!master_food_list,21,FALSE)</f>
        <v>Backpacker's Pantry</v>
      </c>
      <c r="G60" s="208" t="str">
        <f>VLOOKUP($E60,'Master Food List'!master_food_list,22,FALSE)</f>
        <v>Amazon</v>
      </c>
      <c r="H60" s="208" t="str">
        <f>VLOOKUP($E60,'Master Food List'!master_food_list,4,FALSE)</f>
        <v>Pouch</v>
      </c>
      <c r="J60" s="250" t="s">
        <v>505</v>
      </c>
      <c r="K60" s="251"/>
      <c r="L60" s="251"/>
      <c r="M60" s="251"/>
      <c r="N60" s="251"/>
      <c r="O60" s="251"/>
      <c r="P60" s="251"/>
      <c r="Q60" s="251"/>
      <c r="R60" s="251"/>
      <c r="S60" s="251"/>
      <c r="T60" s="251"/>
      <c r="U60" s="251">
        <v>4</v>
      </c>
      <c r="V60" s="251"/>
      <c r="W60" s="251"/>
      <c r="X60"/>
      <c r="Y60"/>
      <c r="Z60"/>
    </row>
    <row r="61" spans="1:26" ht="17" x14ac:dyDescent="0.2">
      <c r="A61" s="208" t="s">
        <v>509</v>
      </c>
      <c r="B61" s="171">
        <v>8</v>
      </c>
      <c r="C61" s="188" t="s">
        <v>463</v>
      </c>
      <c r="D61" s="188" t="s">
        <v>457</v>
      </c>
      <c r="E61" s="205" t="s">
        <v>479</v>
      </c>
      <c r="F61" s="208" t="str">
        <f>VLOOKUP($E61,'Master Food List'!master_food_list,21,FALSE)</f>
        <v>Justin's</v>
      </c>
      <c r="G61" s="208" t="str">
        <f>VLOOKUP($E61,'Master Food List'!master_food_list,22,FALSE)</f>
        <v>Amazon</v>
      </c>
      <c r="H61" s="208" t="str">
        <f>VLOOKUP($E61,'Master Food List'!master_food_list,4,FALSE)</f>
        <v>Jar</v>
      </c>
      <c r="J61" s="250" t="s">
        <v>484</v>
      </c>
      <c r="K61" s="251"/>
      <c r="L61" s="251"/>
      <c r="M61" s="251"/>
      <c r="N61" s="251"/>
      <c r="O61" s="251"/>
      <c r="P61" s="251"/>
      <c r="Q61" s="251"/>
      <c r="R61" s="251"/>
      <c r="S61" s="251"/>
      <c r="T61" s="251"/>
      <c r="U61" s="251">
        <v>10</v>
      </c>
      <c r="V61" s="251"/>
      <c r="W61" s="251"/>
      <c r="X61"/>
      <c r="Y61"/>
      <c r="Z61"/>
    </row>
    <row r="62" spans="1:26" ht="17" x14ac:dyDescent="0.2">
      <c r="A62" s="208" t="s">
        <v>509</v>
      </c>
      <c r="B62" s="171">
        <v>8</v>
      </c>
      <c r="C62" s="188" t="s">
        <v>463</v>
      </c>
      <c r="D62" s="188" t="s">
        <v>455</v>
      </c>
      <c r="E62" s="205" t="s">
        <v>484</v>
      </c>
      <c r="F62" s="208" t="str">
        <f>VLOOKUP($E62,'Master Food List'!master_food_list,21,FALSE)</f>
        <v>Backpacker's Pantry</v>
      </c>
      <c r="G62" s="208" t="str">
        <f>VLOOKUP($E62,'Master Food List'!master_food_list,22,FALSE)</f>
        <v>Backpacker's Pantry</v>
      </c>
      <c r="H62" s="208" t="str">
        <f>VLOOKUP($E62,'Master Food List'!master_food_list,4,FALSE)</f>
        <v>Pouch</v>
      </c>
      <c r="J62" s="250" t="s">
        <v>486</v>
      </c>
      <c r="K62" s="251"/>
      <c r="L62" s="251"/>
      <c r="M62" s="251"/>
      <c r="N62" s="251"/>
      <c r="O62" s="251"/>
      <c r="P62" s="251"/>
      <c r="Q62" s="251"/>
      <c r="R62" s="251"/>
      <c r="S62" s="251"/>
      <c r="T62" s="251"/>
      <c r="U62" s="251">
        <v>9</v>
      </c>
      <c r="V62" s="251"/>
      <c r="W62" s="251"/>
      <c r="X62"/>
      <c r="Y62"/>
      <c r="Z62"/>
    </row>
    <row r="63" spans="1:26" ht="17" x14ac:dyDescent="0.2">
      <c r="A63" s="208" t="s">
        <v>509</v>
      </c>
      <c r="B63" s="170">
        <v>9</v>
      </c>
      <c r="C63" s="168" t="s">
        <v>463</v>
      </c>
      <c r="D63" s="168" t="s">
        <v>462</v>
      </c>
      <c r="E63" s="193" t="s">
        <v>414</v>
      </c>
      <c r="F63" s="208" t="str">
        <f>VLOOKUP($E63,'Master Food List'!master_food_list,21,FALSE)</f>
        <v>Snickers</v>
      </c>
      <c r="G63" s="208" t="str">
        <f>VLOOKUP($E63,'Master Food List'!master_food_list,22,FALSE)</f>
        <v>Acme</v>
      </c>
      <c r="H63" s="208" t="str">
        <f>VLOOKUP($E63,'Master Food List'!master_food_list,4,FALSE)</f>
        <v>Bar</v>
      </c>
      <c r="J63" s="250" t="s">
        <v>519</v>
      </c>
      <c r="K63" s="251"/>
      <c r="L63" s="251"/>
      <c r="M63" s="251"/>
      <c r="N63" s="251"/>
      <c r="O63" s="251"/>
      <c r="P63" s="251"/>
      <c r="Q63" s="251"/>
      <c r="R63" s="251"/>
      <c r="S63" s="251"/>
      <c r="T63" s="251"/>
      <c r="U63" s="251">
        <v>2</v>
      </c>
      <c r="V63" s="251"/>
      <c r="W63" s="251"/>
      <c r="X63"/>
      <c r="Y63"/>
      <c r="Z63"/>
    </row>
    <row r="64" spans="1:26" ht="34" x14ac:dyDescent="0.2">
      <c r="A64" s="208" t="s">
        <v>509</v>
      </c>
      <c r="B64" s="170">
        <v>9</v>
      </c>
      <c r="C64" s="168" t="s">
        <v>463</v>
      </c>
      <c r="D64" s="168" t="s">
        <v>461</v>
      </c>
      <c r="E64" s="193" t="s">
        <v>396</v>
      </c>
      <c r="F64" s="208" t="str">
        <f>VLOOKUP($E64,'Master Food List'!master_food_list,21,FALSE)</f>
        <v>Clif</v>
      </c>
      <c r="G64" s="208" t="str">
        <f>VLOOKUP($E64,'Master Food List'!master_food_list,22,FALSE)</f>
        <v>Acme</v>
      </c>
      <c r="H64" s="208" t="str">
        <f>VLOOKUP($E64,'Master Food List'!master_food_list,4,FALSE)</f>
        <v>Bar</v>
      </c>
      <c r="J64" s="250" t="s">
        <v>480</v>
      </c>
      <c r="K64" s="251"/>
      <c r="L64" s="251"/>
      <c r="M64" s="251"/>
      <c r="N64" s="251"/>
      <c r="O64" s="251"/>
      <c r="P64" s="251"/>
      <c r="Q64" s="251"/>
      <c r="R64" s="251"/>
      <c r="S64" s="251"/>
      <c r="T64" s="251"/>
      <c r="U64" s="251">
        <v>24</v>
      </c>
      <c r="V64" s="251"/>
      <c r="W64" s="251"/>
      <c r="X64"/>
      <c r="Y64"/>
      <c r="Z64"/>
    </row>
    <row r="65" spans="1:26" ht="17" x14ac:dyDescent="0.2">
      <c r="A65" s="208" t="s">
        <v>509</v>
      </c>
      <c r="B65" s="170">
        <v>9</v>
      </c>
      <c r="C65" s="168" t="s">
        <v>463</v>
      </c>
      <c r="D65" s="168" t="s">
        <v>460</v>
      </c>
      <c r="E65" s="193"/>
      <c r="F65" s="208" t="e">
        <f>VLOOKUP($E65,'Master Food List'!master_food_list,21,FALSE)</f>
        <v>#N/A</v>
      </c>
      <c r="G65" s="208" t="e">
        <f>VLOOKUP($E65,'Master Food List'!master_food_list,22,FALSE)</f>
        <v>#N/A</v>
      </c>
      <c r="H65" s="208" t="e">
        <f>VLOOKUP($E65,'Master Food List'!master_food_list,4,FALSE)</f>
        <v>#N/A</v>
      </c>
      <c r="J65" s="250" t="s">
        <v>493</v>
      </c>
      <c r="K65" s="251"/>
      <c r="L65" s="251"/>
      <c r="M65" s="251"/>
      <c r="N65" s="251"/>
      <c r="O65" s="251"/>
      <c r="P65" s="251"/>
      <c r="Q65" s="251"/>
      <c r="R65" s="251"/>
      <c r="S65" s="251"/>
      <c r="T65" s="251"/>
      <c r="U65" s="251">
        <v>7</v>
      </c>
      <c r="V65" s="251"/>
      <c r="W65" s="251"/>
      <c r="X65"/>
      <c r="Y65"/>
      <c r="Z65"/>
    </row>
    <row r="66" spans="1:26" ht="34" x14ac:dyDescent="0.2">
      <c r="A66" s="208" t="s">
        <v>509</v>
      </c>
      <c r="B66" s="170">
        <v>9</v>
      </c>
      <c r="C66" s="168" t="s">
        <v>463</v>
      </c>
      <c r="D66" s="168" t="s">
        <v>459</v>
      </c>
      <c r="E66" s="193" t="s">
        <v>522</v>
      </c>
      <c r="F66" s="208" t="str">
        <f>VLOOKUP($E66,'Master Food List'!master_food_list,21,FALSE)</f>
        <v>Cheetos</v>
      </c>
      <c r="G66" s="208" t="str">
        <f>VLOOKUP($E66,'Master Food List'!master_food_list,22,FALSE)</f>
        <v>Acme</v>
      </c>
      <c r="H66" s="208" t="str">
        <f>VLOOKUP($E66,'Master Food List'!master_food_list,4,FALSE)</f>
        <v>pkg</v>
      </c>
      <c r="J66" s="250" t="s">
        <v>504</v>
      </c>
      <c r="K66" s="251"/>
      <c r="L66" s="251"/>
      <c r="M66" s="251"/>
      <c r="N66" s="251"/>
      <c r="O66" s="251"/>
      <c r="P66" s="251"/>
      <c r="Q66" s="251"/>
      <c r="R66" s="251"/>
      <c r="S66" s="251"/>
      <c r="T66" s="251"/>
      <c r="U66" s="251">
        <v>3</v>
      </c>
      <c r="V66" s="251"/>
      <c r="W66" s="251"/>
      <c r="X66"/>
      <c r="Y66"/>
      <c r="Z66"/>
    </row>
    <row r="67" spans="1:26" ht="17" x14ac:dyDescent="0.2">
      <c r="A67" s="208" t="s">
        <v>509</v>
      </c>
      <c r="B67" s="170">
        <v>9</v>
      </c>
      <c r="C67" s="168" t="s">
        <v>463</v>
      </c>
      <c r="D67" s="168" t="s">
        <v>458</v>
      </c>
      <c r="E67" s="193" t="s">
        <v>493</v>
      </c>
      <c r="F67" s="208" t="str">
        <f>VLOOKUP($E67,'Master Food List'!master_food_list,21,FALSE)</f>
        <v>Backpacker's Pantry</v>
      </c>
      <c r="G67" s="208" t="str">
        <f>VLOOKUP($E67,'Master Food List'!master_food_list,22,FALSE)</f>
        <v>Backpacker's Pantry</v>
      </c>
      <c r="H67" s="208" t="str">
        <f>VLOOKUP($E67,'Master Food List'!master_food_list,4,FALSE)</f>
        <v>Pouch</v>
      </c>
      <c r="J67" s="194" t="s">
        <v>289</v>
      </c>
      <c r="K67" s="198"/>
      <c r="L67" s="198"/>
      <c r="M67" s="198"/>
      <c r="N67" s="198"/>
      <c r="O67" s="198"/>
      <c r="P67" s="198"/>
      <c r="Q67" s="198"/>
      <c r="R67" s="198"/>
      <c r="S67" s="198"/>
      <c r="T67" s="198"/>
      <c r="U67" s="198"/>
      <c r="V67" s="198"/>
      <c r="W67" s="198"/>
      <c r="X67"/>
      <c r="Y67"/>
      <c r="Z67"/>
    </row>
    <row r="68" spans="1:26" ht="17" x14ac:dyDescent="0.2">
      <c r="A68" s="208" t="s">
        <v>509</v>
      </c>
      <c r="B68" s="170">
        <v>9</v>
      </c>
      <c r="C68" s="168" t="s">
        <v>463</v>
      </c>
      <c r="D68" s="168" t="s">
        <v>457</v>
      </c>
      <c r="E68" s="193" t="s">
        <v>479</v>
      </c>
      <c r="F68" s="208" t="str">
        <f>VLOOKUP($E68,'Master Food List'!master_food_list,21,FALSE)</f>
        <v>Justin's</v>
      </c>
      <c r="G68" s="208" t="str">
        <f>VLOOKUP($E68,'Master Food List'!master_food_list,22,FALSE)</f>
        <v>Amazon</v>
      </c>
      <c r="H68" s="208" t="str">
        <f>VLOOKUP($E68,'Master Food List'!master_food_list,4,FALSE)</f>
        <v>Jar</v>
      </c>
      <c r="J68" s="195" t="s">
        <v>289</v>
      </c>
      <c r="K68" s="198"/>
      <c r="L68" s="198"/>
      <c r="M68" s="198"/>
      <c r="N68" s="198"/>
      <c r="O68" s="198"/>
      <c r="P68" s="198"/>
      <c r="Q68" s="198"/>
      <c r="R68" s="198"/>
      <c r="S68" s="198"/>
      <c r="T68" s="198"/>
      <c r="U68" s="198"/>
      <c r="V68" s="198"/>
      <c r="W68" s="198"/>
      <c r="X68"/>
      <c r="Y68"/>
      <c r="Z68"/>
    </row>
    <row r="69" spans="1:26" ht="17" x14ac:dyDescent="0.2">
      <c r="A69" s="208" t="s">
        <v>509</v>
      </c>
      <c r="B69" s="170">
        <v>9</v>
      </c>
      <c r="C69" s="168" t="s">
        <v>463</v>
      </c>
      <c r="D69" s="168" t="s">
        <v>455</v>
      </c>
      <c r="E69" s="193" t="s">
        <v>313</v>
      </c>
      <c r="F69" s="208" t="str">
        <f>VLOOKUP($E69,'Master Food List'!master_food_list,21,FALSE)</f>
        <v>Mountain House</v>
      </c>
      <c r="G69" s="208" t="str">
        <f>VLOOKUP($E69,'Master Food List'!master_food_list,22,FALSE)</f>
        <v>Amazon</v>
      </c>
      <c r="H69" s="208" t="str">
        <f>VLOOKUP($E69,'Master Food List'!master_food_list,4,FALSE)</f>
        <v>12-pack</v>
      </c>
      <c r="J69" s="250" t="s">
        <v>354</v>
      </c>
      <c r="K69" s="251"/>
      <c r="L69" s="251"/>
      <c r="M69" s="251"/>
      <c r="N69" s="251"/>
      <c r="O69" s="251"/>
      <c r="P69" s="251"/>
      <c r="Q69" s="251"/>
      <c r="R69" s="251"/>
      <c r="S69" s="251"/>
      <c r="T69" s="251"/>
      <c r="U69" s="251">
        <v>8</v>
      </c>
      <c r="V69" s="251"/>
      <c r="W69" s="251"/>
      <c r="X69"/>
      <c r="Y69"/>
      <c r="Z69"/>
    </row>
    <row r="70" spans="1:26" ht="17" x14ac:dyDescent="0.2">
      <c r="A70" s="208" t="s">
        <v>509</v>
      </c>
      <c r="B70" s="170">
        <v>10</v>
      </c>
      <c r="C70" s="168" t="s">
        <v>463</v>
      </c>
      <c r="D70" s="168" t="s">
        <v>462</v>
      </c>
      <c r="E70" s="193" t="s">
        <v>485</v>
      </c>
      <c r="F70" s="208" t="str">
        <f>VLOOKUP($E70,'Master Food List'!master_food_list,21,FALSE)</f>
        <v>Mountain House</v>
      </c>
      <c r="G70" s="208" t="str">
        <f>VLOOKUP($E70,'Master Food List'!master_food_list,22,FALSE)</f>
        <v>Amazon</v>
      </c>
      <c r="H70" s="208" t="str">
        <f>VLOOKUP($E70,'Master Food List'!master_food_list,4,FALSE)</f>
        <v>#10 Can*</v>
      </c>
      <c r="J70" s="250" t="s">
        <v>347</v>
      </c>
      <c r="K70" s="251"/>
      <c r="L70" s="251"/>
      <c r="M70" s="251"/>
      <c r="N70" s="251"/>
      <c r="O70" s="251"/>
      <c r="P70" s="251"/>
      <c r="Q70" s="251"/>
      <c r="R70" s="251"/>
      <c r="S70" s="251"/>
      <c r="T70" s="251"/>
      <c r="U70" s="251">
        <v>14</v>
      </c>
      <c r="V70" s="251"/>
      <c r="W70" s="251"/>
      <c r="X70"/>
      <c r="Y70"/>
      <c r="Z70"/>
    </row>
    <row r="71" spans="1:26" ht="34" x14ac:dyDescent="0.2">
      <c r="A71" s="208" t="s">
        <v>509</v>
      </c>
      <c r="B71" s="170">
        <v>10</v>
      </c>
      <c r="C71" s="168" t="s">
        <v>463</v>
      </c>
      <c r="D71" s="168" t="s">
        <v>461</v>
      </c>
      <c r="E71" s="193" t="s">
        <v>433</v>
      </c>
      <c r="F71" s="208" t="str">
        <f>VLOOKUP($E71,'Master Food List'!master_food_list,21,FALSE)</f>
        <v>Alpine Aire</v>
      </c>
      <c r="G71" s="208" t="str">
        <f>VLOOKUP($E71,'Master Food List'!master_food_list,22,FALSE)</f>
        <v>Alpine Aire</v>
      </c>
      <c r="H71" s="208" t="str">
        <f>VLOOKUP($E71,'Master Food List'!master_food_list,4,FALSE)</f>
        <v>Pouch</v>
      </c>
      <c r="J71" s="250" t="s">
        <v>333</v>
      </c>
      <c r="K71" s="251"/>
      <c r="L71" s="251"/>
      <c r="M71" s="251"/>
      <c r="N71" s="251"/>
      <c r="O71" s="251"/>
      <c r="P71" s="251"/>
      <c r="Q71" s="251"/>
      <c r="R71" s="251"/>
      <c r="S71" s="251"/>
      <c r="T71" s="251"/>
      <c r="U71" s="251">
        <v>8</v>
      </c>
      <c r="V71" s="251"/>
      <c r="W71" s="251"/>
      <c r="X71"/>
      <c r="Y71"/>
      <c r="Z71"/>
    </row>
    <row r="72" spans="1:26" ht="17" x14ac:dyDescent="0.2">
      <c r="A72" s="208" t="s">
        <v>509</v>
      </c>
      <c r="B72" s="170">
        <v>10</v>
      </c>
      <c r="C72" s="168" t="s">
        <v>463</v>
      </c>
      <c r="D72" s="168" t="s">
        <v>460</v>
      </c>
      <c r="E72" s="193"/>
      <c r="F72" s="208" t="e">
        <f>VLOOKUP($E72,'Master Food List'!master_food_list,21,FALSE)</f>
        <v>#N/A</v>
      </c>
      <c r="G72" s="208" t="e">
        <f>VLOOKUP($E72,'Master Food List'!master_food_list,22,FALSE)</f>
        <v>#N/A</v>
      </c>
      <c r="H72" s="208" t="e">
        <f>VLOOKUP($E72,'Master Food List'!master_food_list,4,FALSE)</f>
        <v>#N/A</v>
      </c>
      <c r="J72" s="194" t="s">
        <v>702</v>
      </c>
      <c r="K72" s="198"/>
      <c r="L72" s="198"/>
      <c r="M72" s="198"/>
      <c r="N72" s="198"/>
      <c r="O72" s="198"/>
      <c r="P72" s="198"/>
      <c r="Q72" s="198"/>
      <c r="R72" s="198"/>
      <c r="S72" s="198"/>
      <c r="T72" s="198"/>
      <c r="U72" s="198"/>
      <c r="V72" s="198"/>
      <c r="W72" s="198"/>
      <c r="X72"/>
      <c r="Y72"/>
      <c r="Z72"/>
    </row>
    <row r="73" spans="1:26" ht="34" x14ac:dyDescent="0.2">
      <c r="A73" s="208" t="s">
        <v>509</v>
      </c>
      <c r="B73" s="170">
        <v>10</v>
      </c>
      <c r="C73" s="168" t="s">
        <v>463</v>
      </c>
      <c r="D73" s="168" t="s">
        <v>459</v>
      </c>
      <c r="E73" s="193" t="s">
        <v>327</v>
      </c>
      <c r="F73" s="208" t="str">
        <f>VLOOKUP($E73,'Master Food List'!master_food_list,21,FALSE)</f>
        <v>Epic</v>
      </c>
      <c r="G73" s="208" t="str">
        <f>VLOOKUP($E73,'Master Food List'!master_food_list,22,FALSE)</f>
        <v>Amazon</v>
      </c>
      <c r="H73" s="208" t="str">
        <f>VLOOKUP($E73,'Master Food List'!master_food_list,4,FALSE)</f>
        <v>Pack of 12</v>
      </c>
      <c r="J73" s="195" t="s">
        <v>702</v>
      </c>
      <c r="K73" s="198"/>
      <c r="L73" s="198"/>
      <c r="M73" s="198"/>
      <c r="N73" s="198"/>
      <c r="O73" s="198"/>
      <c r="P73" s="198"/>
      <c r="Q73" s="198"/>
      <c r="R73" s="198"/>
      <c r="S73" s="198"/>
      <c r="T73" s="198"/>
      <c r="U73" s="198"/>
      <c r="V73" s="198"/>
      <c r="W73" s="198"/>
      <c r="X73"/>
      <c r="Y73"/>
      <c r="Z73"/>
    </row>
    <row r="74" spans="1:26" ht="17" x14ac:dyDescent="0.2">
      <c r="A74" s="208" t="s">
        <v>509</v>
      </c>
      <c r="B74" s="170">
        <v>10</v>
      </c>
      <c r="C74" s="168" t="s">
        <v>463</v>
      </c>
      <c r="D74" s="168" t="s">
        <v>458</v>
      </c>
      <c r="E74" s="193" t="s">
        <v>336</v>
      </c>
      <c r="F74" s="208" t="str">
        <f>VLOOKUP($E74,'Master Food List'!master_food_list,21,FALSE)</f>
        <v>Mountain House</v>
      </c>
      <c r="G74" s="208" t="str">
        <f>VLOOKUP($E74,'Master Food List'!master_food_list,22,FALSE)</f>
        <v>Amazon</v>
      </c>
      <c r="H74" s="208" t="str">
        <f>VLOOKUP($E74,'Master Food List'!master_food_list,4,FALSE)</f>
        <v>#10 Can*</v>
      </c>
      <c r="J74" s="258" t="s">
        <v>516</v>
      </c>
      <c r="K74" s="198"/>
      <c r="L74" s="198"/>
      <c r="M74" s="198"/>
      <c r="N74" s="198"/>
      <c r="O74" s="198"/>
      <c r="P74" s="198"/>
      <c r="Q74" s="198"/>
      <c r="R74" s="198"/>
      <c r="S74" s="198"/>
      <c r="T74" s="198"/>
      <c r="U74" s="198"/>
      <c r="V74" s="198"/>
      <c r="W74" s="198"/>
      <c r="X74"/>
      <c r="Y74"/>
      <c r="Z74"/>
    </row>
    <row r="75" spans="1:26" ht="17" x14ac:dyDescent="0.2">
      <c r="A75" s="208" t="s">
        <v>509</v>
      </c>
      <c r="B75" s="170">
        <v>10</v>
      </c>
      <c r="C75" s="168" t="s">
        <v>463</v>
      </c>
      <c r="D75" s="168" t="s">
        <v>457</v>
      </c>
      <c r="E75" s="193" t="s">
        <v>479</v>
      </c>
      <c r="F75" s="208" t="str">
        <f>VLOOKUP($E75,'Master Food List'!master_food_list,21,FALSE)</f>
        <v>Justin's</v>
      </c>
      <c r="G75" s="208" t="str">
        <f>VLOOKUP($E75,'Master Food List'!master_food_list,22,FALSE)</f>
        <v>Amazon</v>
      </c>
      <c r="H75" s="208" t="str">
        <f>VLOOKUP($E75,'Master Food List'!master_food_list,4,FALSE)</f>
        <v>Jar</v>
      </c>
      <c r="X75"/>
      <c r="Y75"/>
      <c r="Z75"/>
    </row>
    <row r="76" spans="1:26" ht="17" x14ac:dyDescent="0.2">
      <c r="A76" s="208" t="s">
        <v>509</v>
      </c>
      <c r="B76" s="170">
        <v>10</v>
      </c>
      <c r="C76" s="168" t="s">
        <v>463</v>
      </c>
      <c r="D76" s="168" t="s">
        <v>455</v>
      </c>
      <c r="E76" s="193" t="s">
        <v>478</v>
      </c>
      <c r="F76" s="208" t="str">
        <f>VLOOKUP($E76,'Master Food List'!master_food_list,21,FALSE)</f>
        <v>Mountain House</v>
      </c>
      <c r="G76" s="208" t="str">
        <f>VLOOKUP($E76,'Master Food List'!master_food_list,22,FALSE)</f>
        <v>Amazon</v>
      </c>
      <c r="H76" s="208" t="str">
        <f>VLOOKUP($E76,'Master Food List'!master_food_list,4,FALSE)</f>
        <v>6-Pack</v>
      </c>
      <c r="X76"/>
      <c r="Y76"/>
      <c r="Z76"/>
    </row>
    <row r="77" spans="1:26" ht="34" x14ac:dyDescent="0.2">
      <c r="A77" s="208" t="s">
        <v>509</v>
      </c>
      <c r="B77" s="163">
        <v>11</v>
      </c>
      <c r="C77" s="164" t="s">
        <v>15</v>
      </c>
      <c r="D77" s="164" t="s">
        <v>462</v>
      </c>
      <c r="E77" s="203" t="s">
        <v>498</v>
      </c>
      <c r="F77" s="208" t="str">
        <f>VLOOKUP($E77,'Master Food List'!master_food_list,21,FALSE)</f>
        <v>? &amp; Mountain House</v>
      </c>
      <c r="G77" s="208" t="str">
        <f>VLOOKUP($E77,'Master Food List'!master_food_list,22,FALSE)</f>
        <v>Acme &amp; Mountain House</v>
      </c>
      <c r="H77" s="208">
        <f>VLOOKUP($E77,'Master Food List'!master_food_list,4,FALSE)</f>
        <v>0</v>
      </c>
      <c r="J77"/>
      <c r="K77"/>
      <c r="L77"/>
      <c r="M77"/>
      <c r="N77"/>
      <c r="O77"/>
      <c r="P77"/>
      <c r="Q77"/>
      <c r="R77"/>
      <c r="S77"/>
      <c r="T77"/>
      <c r="U77"/>
      <c r="V77"/>
      <c r="W77"/>
      <c r="X77"/>
    </row>
    <row r="78" spans="1:26" ht="34" x14ac:dyDescent="0.2">
      <c r="A78" s="208" t="s">
        <v>509</v>
      </c>
      <c r="B78" s="163">
        <v>11</v>
      </c>
      <c r="C78" s="164" t="s">
        <v>15</v>
      </c>
      <c r="D78" s="164" t="s">
        <v>461</v>
      </c>
      <c r="E78" s="203" t="s">
        <v>325</v>
      </c>
      <c r="F78" s="208" t="str">
        <f>VLOOKUP($E78,'Master Food List'!master_food_list,21,FALSE)</f>
        <v>Epic</v>
      </c>
      <c r="G78" s="208" t="str">
        <f>VLOOKUP($E78,'Master Food List'!master_food_list,22,FALSE)</f>
        <v>Amazon</v>
      </c>
      <c r="H78" s="208" t="str">
        <f>VLOOKUP($E78,'Master Food List'!master_food_list,4,FALSE)</f>
        <v>Pack of 12</v>
      </c>
    </row>
    <row r="79" spans="1:26" ht="34" x14ac:dyDescent="0.2">
      <c r="A79" s="208" t="s">
        <v>509</v>
      </c>
      <c r="B79" s="163">
        <v>11</v>
      </c>
      <c r="C79" s="164" t="s">
        <v>15</v>
      </c>
      <c r="D79" s="164" t="s">
        <v>460</v>
      </c>
      <c r="E79" s="203" t="s">
        <v>495</v>
      </c>
      <c r="F79" s="208" t="str">
        <f>VLOOKUP($E79,'Master Food List'!master_food_list,21,FALSE)</f>
        <v>Starbucks &amp; Hoosier Hill Farm</v>
      </c>
      <c r="G79" s="208" t="str">
        <f>VLOOKUP($E79,'Master Food List'!master_food_list,22,FALSE)</f>
        <v>Amazon</v>
      </c>
      <c r="H79" s="208">
        <f>VLOOKUP($E79,'Master Food List'!master_food_list,4,FALSE)</f>
        <v>0</v>
      </c>
    </row>
    <row r="80" spans="1:26" ht="34" x14ac:dyDescent="0.2">
      <c r="A80" s="208" t="s">
        <v>509</v>
      </c>
      <c r="B80" s="163">
        <v>11</v>
      </c>
      <c r="C80" s="164" t="s">
        <v>15</v>
      </c>
      <c r="D80" s="164" t="s">
        <v>459</v>
      </c>
      <c r="E80" s="203" t="s">
        <v>522</v>
      </c>
      <c r="F80" s="208" t="str">
        <f>VLOOKUP($E80,'Master Food List'!master_food_list,21,FALSE)</f>
        <v>Cheetos</v>
      </c>
      <c r="G80" s="208" t="str">
        <f>VLOOKUP($E80,'Master Food List'!master_food_list,22,FALSE)</f>
        <v>Acme</v>
      </c>
      <c r="H80" s="208" t="str">
        <f>VLOOKUP($E80,'Master Food List'!master_food_list,4,FALSE)</f>
        <v>pkg</v>
      </c>
    </row>
    <row r="81" spans="1:8" ht="34" x14ac:dyDescent="0.2">
      <c r="A81" s="208" t="s">
        <v>509</v>
      </c>
      <c r="B81" s="163">
        <v>11</v>
      </c>
      <c r="C81" s="164" t="s">
        <v>15</v>
      </c>
      <c r="D81" s="164" t="s">
        <v>458</v>
      </c>
      <c r="E81" s="203" t="s">
        <v>493</v>
      </c>
      <c r="F81" s="208" t="str">
        <f>VLOOKUP($E81,'Master Food List'!master_food_list,21,FALSE)</f>
        <v>Backpacker's Pantry</v>
      </c>
      <c r="G81" s="208" t="str">
        <f>VLOOKUP($E81,'Master Food List'!master_food_list,22,FALSE)</f>
        <v>Backpacker's Pantry</v>
      </c>
      <c r="H81" s="208" t="str">
        <f>VLOOKUP($E81,'Master Food List'!master_food_list,4,FALSE)</f>
        <v>Pouch</v>
      </c>
    </row>
    <row r="82" spans="1:8" ht="34" x14ac:dyDescent="0.2">
      <c r="A82" s="208" t="s">
        <v>509</v>
      </c>
      <c r="B82" s="163">
        <v>11</v>
      </c>
      <c r="C82" s="164" t="s">
        <v>15</v>
      </c>
      <c r="D82" s="164" t="s">
        <v>457</v>
      </c>
      <c r="E82" s="203"/>
      <c r="F82" s="208" t="e">
        <f>VLOOKUP($E82,'Master Food List'!master_food_list,21,FALSE)</f>
        <v>#N/A</v>
      </c>
      <c r="G82" s="208" t="e">
        <f>VLOOKUP($E82,'Master Food List'!master_food_list,22,FALSE)</f>
        <v>#N/A</v>
      </c>
      <c r="H82" s="208" t="e">
        <f>VLOOKUP($E82,'Master Food List'!master_food_list,4,FALSE)</f>
        <v>#N/A</v>
      </c>
    </row>
    <row r="83" spans="1:8" ht="34" x14ac:dyDescent="0.2">
      <c r="A83" s="208" t="s">
        <v>509</v>
      </c>
      <c r="B83" s="163">
        <v>11</v>
      </c>
      <c r="C83" s="164" t="s">
        <v>15</v>
      </c>
      <c r="D83" s="164" t="s">
        <v>455</v>
      </c>
      <c r="E83" s="203" t="s">
        <v>482</v>
      </c>
      <c r="F83" s="208" t="str">
        <f>VLOOKUP($E83,'Master Food List'!master_food_list,21,FALSE)</f>
        <v>Swiss Miss</v>
      </c>
      <c r="G83" s="208" t="str">
        <f>VLOOKUP($E83,'Master Food List'!master_food_list,22,FALSE)</f>
        <v>Amazon</v>
      </c>
      <c r="H83" s="208" t="str">
        <f>VLOOKUP($E83,'Master Food List'!master_food_list,4,FALSE)</f>
        <v>Pack of 3 boxes</v>
      </c>
    </row>
    <row r="84" spans="1:8" ht="34" x14ac:dyDescent="0.2">
      <c r="A84" s="208" t="s">
        <v>509</v>
      </c>
      <c r="B84" s="171">
        <v>12</v>
      </c>
      <c r="C84" s="188" t="s">
        <v>15</v>
      </c>
      <c r="D84" s="188" t="s">
        <v>462</v>
      </c>
      <c r="E84" s="205" t="s">
        <v>480</v>
      </c>
      <c r="F84" s="208" t="str">
        <f>VLOOKUP($E84,'Master Food List'!master_food_list,21,FALSE)</f>
        <v>Backpacker's Pantry</v>
      </c>
      <c r="G84" s="208" t="str">
        <f>VLOOKUP($E84,'Master Food List'!master_food_list,22,FALSE)</f>
        <v>Backpacker's Pantry</v>
      </c>
      <c r="H84" s="208" t="str">
        <f>VLOOKUP($E84,'Master Food List'!master_food_list,4,FALSE)</f>
        <v>Pouch</v>
      </c>
    </row>
    <row r="85" spans="1:8" ht="34" x14ac:dyDescent="0.2">
      <c r="A85" s="208" t="s">
        <v>509</v>
      </c>
      <c r="B85" s="171">
        <v>12</v>
      </c>
      <c r="C85" s="188" t="s">
        <v>15</v>
      </c>
      <c r="D85" s="188" t="s">
        <v>461</v>
      </c>
      <c r="E85" s="205" t="s">
        <v>430</v>
      </c>
      <c r="F85" s="208" t="str">
        <f>VLOOKUP($E85,'Master Food List'!master_food_list,21,FALSE)</f>
        <v>Alpine Aire</v>
      </c>
      <c r="G85" s="208" t="str">
        <f>VLOOKUP($E85,'Master Food List'!master_food_list,22,FALSE)</f>
        <v>Alpine Aire</v>
      </c>
      <c r="H85" s="208" t="str">
        <f>VLOOKUP($E85,'Master Food List'!master_food_list,4,FALSE)</f>
        <v>Pouch</v>
      </c>
    </row>
    <row r="86" spans="1:8" ht="34" x14ac:dyDescent="0.2">
      <c r="A86" s="208" t="s">
        <v>509</v>
      </c>
      <c r="B86" s="171">
        <v>12</v>
      </c>
      <c r="C86" s="188" t="s">
        <v>15</v>
      </c>
      <c r="D86" s="188" t="s">
        <v>460</v>
      </c>
      <c r="E86" s="205" t="s">
        <v>495</v>
      </c>
      <c r="F86" s="208" t="str">
        <f>VLOOKUP($E86,'Master Food List'!master_food_list,21,FALSE)</f>
        <v>Starbucks &amp; Hoosier Hill Farm</v>
      </c>
      <c r="G86" s="208" t="str">
        <f>VLOOKUP($E86,'Master Food List'!master_food_list,22,FALSE)</f>
        <v>Amazon</v>
      </c>
      <c r="H86" s="208">
        <f>VLOOKUP($E86,'Master Food List'!master_food_list,4,FALSE)</f>
        <v>0</v>
      </c>
    </row>
    <row r="87" spans="1:8" ht="34" x14ac:dyDescent="0.2">
      <c r="A87" s="208" t="s">
        <v>509</v>
      </c>
      <c r="B87" s="171">
        <v>12</v>
      </c>
      <c r="C87" s="188" t="s">
        <v>15</v>
      </c>
      <c r="D87" s="188" t="s">
        <v>459</v>
      </c>
      <c r="E87" s="205" t="s">
        <v>347</v>
      </c>
      <c r="F87" s="208" t="str">
        <f>VLOOKUP($E87,'Master Food List'!master_food_list,21,FALSE)</f>
        <v>Thrive Life</v>
      </c>
      <c r="G87" s="208" t="str">
        <f>VLOOKUP($E87,'Master Food List'!master_food_list,22,FALSE)</f>
        <v>Thrive Life</v>
      </c>
      <c r="H87" s="208" t="str">
        <f>VLOOKUP($E87,'Master Food List'!master_food_list,4,FALSE)</f>
        <v>Pouch</v>
      </c>
    </row>
    <row r="88" spans="1:8" ht="34" x14ac:dyDescent="0.2">
      <c r="A88" s="208" t="s">
        <v>509</v>
      </c>
      <c r="B88" s="171">
        <v>12</v>
      </c>
      <c r="C88" s="188" t="s">
        <v>15</v>
      </c>
      <c r="D88" s="188" t="s">
        <v>458</v>
      </c>
      <c r="E88" s="205" t="s">
        <v>452</v>
      </c>
      <c r="F88" s="208" t="str">
        <f>VLOOKUP($E88,'Master Food List'!master_food_list,21,FALSE)</f>
        <v>Alpine Aire</v>
      </c>
      <c r="G88" s="208" t="str">
        <f>VLOOKUP($E88,'Master Food List'!master_food_list,22,FALSE)</f>
        <v>Alpine Aire</v>
      </c>
      <c r="H88" s="208" t="str">
        <f>VLOOKUP($E88,'Master Food List'!master_food_list,4,FALSE)</f>
        <v>Pouch</v>
      </c>
    </row>
    <row r="89" spans="1:8" ht="34" x14ac:dyDescent="0.2">
      <c r="A89" s="208" t="s">
        <v>509</v>
      </c>
      <c r="B89" s="171">
        <v>12</v>
      </c>
      <c r="C89" s="188" t="s">
        <v>15</v>
      </c>
      <c r="D89" s="188" t="s">
        <v>457</v>
      </c>
      <c r="E89" s="205" t="s">
        <v>479</v>
      </c>
      <c r="F89" s="208" t="str">
        <f>VLOOKUP($E89,'Master Food List'!master_food_list,21,FALSE)</f>
        <v>Justin's</v>
      </c>
      <c r="G89" s="208" t="str">
        <f>VLOOKUP($E89,'Master Food List'!master_food_list,22,FALSE)</f>
        <v>Amazon</v>
      </c>
      <c r="H89" s="208" t="str">
        <f>VLOOKUP($E89,'Master Food List'!master_food_list,4,FALSE)</f>
        <v>Jar</v>
      </c>
    </row>
    <row r="90" spans="1:8" ht="34" x14ac:dyDescent="0.2">
      <c r="A90" s="208" t="s">
        <v>509</v>
      </c>
      <c r="B90" s="171">
        <v>12</v>
      </c>
      <c r="C90" s="188" t="s">
        <v>15</v>
      </c>
      <c r="D90" s="188" t="s">
        <v>455</v>
      </c>
      <c r="E90" s="205" t="s">
        <v>483</v>
      </c>
      <c r="F90" s="208" t="str">
        <f>VLOOKUP($E90,'Master Food List'!master_food_list,21,FALSE)</f>
        <v>M &amp; M</v>
      </c>
      <c r="G90" s="208" t="str">
        <f>VLOOKUP($E90,'Master Food List'!master_food_list,22,FALSE)</f>
        <v>Acme</v>
      </c>
      <c r="H90" s="208" t="str">
        <f>VLOOKUP($E90,'Master Food List'!master_food_list,4,FALSE)</f>
        <v>2lb 10oz Bag</v>
      </c>
    </row>
    <row r="91" spans="1:8" ht="34" x14ac:dyDescent="0.2">
      <c r="A91" s="208" t="s">
        <v>509</v>
      </c>
      <c r="B91" s="170">
        <v>13</v>
      </c>
      <c r="C91" s="168" t="s">
        <v>15</v>
      </c>
      <c r="D91" s="168" t="s">
        <v>462</v>
      </c>
      <c r="E91" s="193" t="s">
        <v>485</v>
      </c>
      <c r="F91" s="208" t="str">
        <f>VLOOKUP($E91,'Master Food List'!master_food_list,21,FALSE)</f>
        <v>Mountain House</v>
      </c>
      <c r="G91" s="208" t="str">
        <f>VLOOKUP($E91,'Master Food List'!master_food_list,22,FALSE)</f>
        <v>Amazon</v>
      </c>
      <c r="H91" s="208" t="str">
        <f>VLOOKUP($E91,'Master Food List'!master_food_list,4,FALSE)</f>
        <v>#10 Can*</v>
      </c>
    </row>
    <row r="92" spans="1:8" ht="34" x14ac:dyDescent="0.2">
      <c r="A92" s="208" t="s">
        <v>509</v>
      </c>
      <c r="B92" s="170">
        <v>13</v>
      </c>
      <c r="C92" s="168" t="s">
        <v>15</v>
      </c>
      <c r="D92" s="168" t="s">
        <v>461</v>
      </c>
      <c r="E92" s="193" t="s">
        <v>333</v>
      </c>
      <c r="F92" s="208" t="str">
        <f>VLOOKUP($E92,'Master Food List'!master_food_list,21,FALSE)</f>
        <v>Thrive Life</v>
      </c>
      <c r="G92" s="208" t="str">
        <f>VLOOKUP($E92,'Master Food List'!master_food_list,22,FALSE)</f>
        <v>Thrive Life</v>
      </c>
      <c r="H92" s="208" t="str">
        <f>VLOOKUP($E92,'Master Food List'!master_food_list,4,FALSE)</f>
        <v>Pouch</v>
      </c>
    </row>
    <row r="93" spans="1:8" ht="34" x14ac:dyDescent="0.2">
      <c r="A93" s="208" t="s">
        <v>509</v>
      </c>
      <c r="B93" s="170">
        <v>13</v>
      </c>
      <c r="C93" s="168" t="s">
        <v>15</v>
      </c>
      <c r="D93" s="168" t="s">
        <v>460</v>
      </c>
      <c r="E93" s="193"/>
      <c r="F93" s="208" t="e">
        <f>VLOOKUP($E93,'Master Food List'!master_food_list,21,FALSE)</f>
        <v>#N/A</v>
      </c>
      <c r="G93" s="208" t="e">
        <f>VLOOKUP($E93,'Master Food List'!master_food_list,22,FALSE)</f>
        <v>#N/A</v>
      </c>
      <c r="H93" s="208" t="e">
        <f>VLOOKUP($E93,'Master Food List'!master_food_list,4,FALSE)</f>
        <v>#N/A</v>
      </c>
    </row>
    <row r="94" spans="1:8" ht="34" x14ac:dyDescent="0.2">
      <c r="A94" s="208" t="s">
        <v>509</v>
      </c>
      <c r="B94" s="170">
        <v>13</v>
      </c>
      <c r="C94" s="168" t="s">
        <v>15</v>
      </c>
      <c r="D94" s="168" t="s">
        <v>459</v>
      </c>
      <c r="E94" s="193" t="s">
        <v>396</v>
      </c>
      <c r="F94" s="208" t="str">
        <f>VLOOKUP($E94,'Master Food List'!master_food_list,21,FALSE)</f>
        <v>Clif</v>
      </c>
      <c r="G94" s="208" t="str">
        <f>VLOOKUP($E94,'Master Food List'!master_food_list,22,FALSE)</f>
        <v>Acme</v>
      </c>
      <c r="H94" s="208" t="str">
        <f>VLOOKUP($E94,'Master Food List'!master_food_list,4,FALSE)</f>
        <v>Bar</v>
      </c>
    </row>
    <row r="95" spans="1:8" ht="34" x14ac:dyDescent="0.2">
      <c r="A95" s="208" t="s">
        <v>509</v>
      </c>
      <c r="B95" s="170">
        <v>13</v>
      </c>
      <c r="C95" s="168" t="s">
        <v>15</v>
      </c>
      <c r="D95" s="168" t="s">
        <v>458</v>
      </c>
      <c r="E95" s="193" t="s">
        <v>449</v>
      </c>
      <c r="F95" s="208" t="str">
        <f>VLOOKUP($E95,'Master Food List'!master_food_list,21,FALSE)</f>
        <v>Alpine Aire</v>
      </c>
      <c r="G95" s="208" t="str">
        <f>VLOOKUP($E95,'Master Food List'!master_food_list,22,FALSE)</f>
        <v>Alpine Aire</v>
      </c>
      <c r="H95" s="208" t="str">
        <f>VLOOKUP($E95,'Master Food List'!master_food_list,4,FALSE)</f>
        <v>Pouch</v>
      </c>
    </row>
    <row r="96" spans="1:8" ht="34" x14ac:dyDescent="0.2">
      <c r="A96" s="208" t="s">
        <v>509</v>
      </c>
      <c r="B96" s="170">
        <v>13</v>
      </c>
      <c r="C96" s="168" t="s">
        <v>15</v>
      </c>
      <c r="D96" s="168" t="s">
        <v>457</v>
      </c>
      <c r="E96" s="193" t="s">
        <v>479</v>
      </c>
      <c r="F96" s="208" t="str">
        <f>VLOOKUP($E96,'Master Food List'!master_food_list,21,FALSE)</f>
        <v>Justin's</v>
      </c>
      <c r="G96" s="208" t="str">
        <f>VLOOKUP($E96,'Master Food List'!master_food_list,22,FALSE)</f>
        <v>Amazon</v>
      </c>
      <c r="H96" s="208" t="str">
        <f>VLOOKUP($E96,'Master Food List'!master_food_list,4,FALSE)</f>
        <v>Jar</v>
      </c>
    </row>
    <row r="97" spans="1:8" ht="34" x14ac:dyDescent="0.2">
      <c r="A97" s="208" t="s">
        <v>509</v>
      </c>
      <c r="B97" s="170">
        <v>13</v>
      </c>
      <c r="C97" s="168" t="s">
        <v>15</v>
      </c>
      <c r="D97" s="168" t="s">
        <v>455</v>
      </c>
      <c r="E97" s="193" t="s">
        <v>478</v>
      </c>
      <c r="F97" s="208" t="str">
        <f>VLOOKUP($E97,'Master Food List'!master_food_list,21,FALSE)</f>
        <v>Mountain House</v>
      </c>
      <c r="G97" s="208" t="str">
        <f>VLOOKUP($E97,'Master Food List'!master_food_list,22,FALSE)</f>
        <v>Amazon</v>
      </c>
      <c r="H97" s="208" t="str">
        <f>VLOOKUP($E97,'Master Food List'!master_food_list,4,FALSE)</f>
        <v>6-Pack</v>
      </c>
    </row>
    <row r="98" spans="1:8" ht="34" x14ac:dyDescent="0.2">
      <c r="A98" s="208" t="s">
        <v>509</v>
      </c>
      <c r="B98" s="170">
        <v>14</v>
      </c>
      <c r="C98" s="168" t="s">
        <v>15</v>
      </c>
      <c r="D98" s="168" t="s">
        <v>462</v>
      </c>
      <c r="E98" s="193" t="s">
        <v>480</v>
      </c>
      <c r="F98" s="208" t="str">
        <f>VLOOKUP($E98,'Master Food List'!master_food_list,21,FALSE)</f>
        <v>Backpacker's Pantry</v>
      </c>
      <c r="G98" s="208" t="str">
        <f>VLOOKUP($E98,'Master Food List'!master_food_list,22,FALSE)</f>
        <v>Backpacker's Pantry</v>
      </c>
      <c r="H98" s="208" t="str">
        <f>VLOOKUP($E98,'Master Food List'!master_food_list,4,FALSE)</f>
        <v>Pouch</v>
      </c>
    </row>
    <row r="99" spans="1:8" ht="34" x14ac:dyDescent="0.2">
      <c r="A99" s="208" t="s">
        <v>509</v>
      </c>
      <c r="B99" s="170">
        <v>14</v>
      </c>
      <c r="C99" s="168" t="s">
        <v>15</v>
      </c>
      <c r="D99" s="168" t="s">
        <v>461</v>
      </c>
      <c r="E99" s="193" t="s">
        <v>414</v>
      </c>
      <c r="F99" s="208" t="str">
        <f>VLOOKUP($E99,'Master Food List'!master_food_list,21,FALSE)</f>
        <v>Snickers</v>
      </c>
      <c r="G99" s="208" t="str">
        <f>VLOOKUP($E99,'Master Food List'!master_food_list,22,FALSE)</f>
        <v>Acme</v>
      </c>
      <c r="H99" s="208" t="str">
        <f>VLOOKUP($E99,'Master Food List'!master_food_list,4,FALSE)</f>
        <v>Bar</v>
      </c>
    </row>
    <row r="100" spans="1:8" ht="34" x14ac:dyDescent="0.2">
      <c r="A100" s="208" t="s">
        <v>509</v>
      </c>
      <c r="B100" s="170">
        <v>14</v>
      </c>
      <c r="C100" s="168" t="s">
        <v>15</v>
      </c>
      <c r="D100" s="168" t="s">
        <v>460</v>
      </c>
      <c r="E100" s="193"/>
      <c r="F100" s="208" t="e">
        <f>VLOOKUP($E100,'Master Food List'!master_food_list,21,FALSE)</f>
        <v>#N/A</v>
      </c>
      <c r="G100" s="208" t="e">
        <f>VLOOKUP($E100,'Master Food List'!master_food_list,22,FALSE)</f>
        <v>#N/A</v>
      </c>
      <c r="H100" s="208" t="e">
        <f>VLOOKUP($E100,'Master Food List'!master_food_list,4,FALSE)</f>
        <v>#N/A</v>
      </c>
    </row>
    <row r="101" spans="1:8" ht="34" x14ac:dyDescent="0.2">
      <c r="A101" s="208" t="s">
        <v>509</v>
      </c>
      <c r="B101" s="170">
        <v>14</v>
      </c>
      <c r="C101" s="168" t="s">
        <v>15</v>
      </c>
      <c r="D101" s="168" t="s">
        <v>459</v>
      </c>
      <c r="E101" s="193" t="s">
        <v>522</v>
      </c>
      <c r="F101" s="208" t="str">
        <f>VLOOKUP($E101,'Master Food List'!master_food_list,21,FALSE)</f>
        <v>Cheetos</v>
      </c>
      <c r="G101" s="208" t="str">
        <f>VLOOKUP($E101,'Master Food List'!master_food_list,22,FALSE)</f>
        <v>Acme</v>
      </c>
      <c r="H101" s="208" t="str">
        <f>VLOOKUP($E101,'Master Food List'!master_food_list,4,FALSE)</f>
        <v>pkg</v>
      </c>
    </row>
    <row r="102" spans="1:8" ht="34" x14ac:dyDescent="0.2">
      <c r="A102" s="208" t="s">
        <v>509</v>
      </c>
      <c r="B102" s="170">
        <v>14</v>
      </c>
      <c r="C102" s="168" t="s">
        <v>15</v>
      </c>
      <c r="D102" s="168" t="s">
        <v>458</v>
      </c>
      <c r="E102" s="193" t="s">
        <v>486</v>
      </c>
      <c r="F102" s="208" t="str">
        <f>VLOOKUP($E102,'Master Food List'!master_food_list,21,FALSE)</f>
        <v>Backpacker's Pantry</v>
      </c>
      <c r="G102" s="208" t="str">
        <f>VLOOKUP($E102,'Master Food List'!master_food_list,22,FALSE)</f>
        <v>Backpacker's Pantry</v>
      </c>
      <c r="H102" s="208" t="str">
        <f>VLOOKUP($E102,'Master Food List'!master_food_list,4,FALSE)</f>
        <v>Pouch</v>
      </c>
    </row>
    <row r="103" spans="1:8" ht="34" x14ac:dyDescent="0.2">
      <c r="A103" s="208" t="s">
        <v>509</v>
      </c>
      <c r="B103" s="170">
        <v>14</v>
      </c>
      <c r="C103" s="168" t="s">
        <v>15</v>
      </c>
      <c r="D103" s="168" t="s">
        <v>457</v>
      </c>
      <c r="E103" s="193" t="s">
        <v>479</v>
      </c>
      <c r="F103" s="208" t="str">
        <f>VLOOKUP($E103,'Master Food List'!master_food_list,21,FALSE)</f>
        <v>Justin's</v>
      </c>
      <c r="G103" s="208" t="str">
        <f>VLOOKUP($E103,'Master Food List'!master_food_list,22,FALSE)</f>
        <v>Amazon</v>
      </c>
      <c r="H103" s="208" t="str">
        <f>VLOOKUP($E103,'Master Food List'!master_food_list,4,FALSE)</f>
        <v>Jar</v>
      </c>
    </row>
    <row r="104" spans="1:8" ht="34" x14ac:dyDescent="0.2">
      <c r="A104" s="208" t="s">
        <v>509</v>
      </c>
      <c r="B104" s="170">
        <v>14</v>
      </c>
      <c r="C104" s="168" t="s">
        <v>15</v>
      </c>
      <c r="D104" s="168" t="s">
        <v>455</v>
      </c>
      <c r="E104" s="193" t="s">
        <v>313</v>
      </c>
      <c r="F104" s="208" t="str">
        <f>VLOOKUP($E104,'Master Food List'!master_food_list,21,FALSE)</f>
        <v>Mountain House</v>
      </c>
      <c r="G104" s="208" t="str">
        <f>VLOOKUP($E104,'Master Food List'!master_food_list,22,FALSE)</f>
        <v>Amazon</v>
      </c>
      <c r="H104" s="208" t="str">
        <f>VLOOKUP($E104,'Master Food List'!master_food_list,4,FALSE)</f>
        <v>12-pack</v>
      </c>
    </row>
    <row r="105" spans="1:8" ht="51" x14ac:dyDescent="0.2">
      <c r="A105" s="208" t="s">
        <v>509</v>
      </c>
      <c r="B105" s="163">
        <v>15</v>
      </c>
      <c r="C105" s="164" t="s">
        <v>210</v>
      </c>
      <c r="D105" s="164" t="s">
        <v>462</v>
      </c>
      <c r="E105" s="203" t="s">
        <v>498</v>
      </c>
      <c r="F105" s="208" t="str">
        <f>VLOOKUP($E105,'Master Food List'!master_food_list,21,FALSE)</f>
        <v>? &amp; Mountain House</v>
      </c>
      <c r="G105" s="208" t="str">
        <f>VLOOKUP($E105,'Master Food List'!master_food_list,22,FALSE)</f>
        <v>Acme &amp; Mountain House</v>
      </c>
      <c r="H105" s="208">
        <f>VLOOKUP($E105,'Master Food List'!master_food_list,4,FALSE)</f>
        <v>0</v>
      </c>
    </row>
    <row r="106" spans="1:8" ht="51" x14ac:dyDescent="0.2">
      <c r="A106" s="208" t="s">
        <v>509</v>
      </c>
      <c r="B106" s="163">
        <v>15</v>
      </c>
      <c r="C106" s="164" t="s">
        <v>210</v>
      </c>
      <c r="D106" s="164" t="s">
        <v>461</v>
      </c>
      <c r="E106" s="203" t="s">
        <v>327</v>
      </c>
      <c r="F106" s="208" t="str">
        <f>VLOOKUP($E106,'Master Food List'!master_food_list,21,FALSE)</f>
        <v>Epic</v>
      </c>
      <c r="G106" s="208" t="str">
        <f>VLOOKUP($E106,'Master Food List'!master_food_list,22,FALSE)</f>
        <v>Amazon</v>
      </c>
      <c r="H106" s="208" t="str">
        <f>VLOOKUP($E106,'Master Food List'!master_food_list,4,FALSE)</f>
        <v>Pack of 12</v>
      </c>
    </row>
    <row r="107" spans="1:8" ht="51" x14ac:dyDescent="0.2">
      <c r="A107" s="208" t="s">
        <v>509</v>
      </c>
      <c r="B107" s="163">
        <v>15</v>
      </c>
      <c r="C107" s="164" t="s">
        <v>210</v>
      </c>
      <c r="D107" s="164" t="s">
        <v>460</v>
      </c>
      <c r="E107" s="203" t="s">
        <v>495</v>
      </c>
      <c r="F107" s="208" t="str">
        <f>VLOOKUP($E107,'Master Food List'!master_food_list,21,FALSE)</f>
        <v>Starbucks &amp; Hoosier Hill Farm</v>
      </c>
      <c r="G107" s="208" t="str">
        <f>VLOOKUP($E107,'Master Food List'!master_food_list,22,FALSE)</f>
        <v>Amazon</v>
      </c>
      <c r="H107" s="208">
        <f>VLOOKUP($E107,'Master Food List'!master_food_list,4,FALSE)</f>
        <v>0</v>
      </c>
    </row>
    <row r="108" spans="1:8" ht="51" x14ac:dyDescent="0.2">
      <c r="A108" s="208" t="s">
        <v>509</v>
      </c>
      <c r="B108" s="163">
        <v>15</v>
      </c>
      <c r="C108" s="164" t="s">
        <v>210</v>
      </c>
      <c r="D108" s="164" t="s">
        <v>459</v>
      </c>
      <c r="E108" s="203" t="s">
        <v>522</v>
      </c>
      <c r="F108" s="208" t="str">
        <f>VLOOKUP($E108,'Master Food List'!master_food_list,21,FALSE)</f>
        <v>Cheetos</v>
      </c>
      <c r="G108" s="208" t="str">
        <f>VLOOKUP($E108,'Master Food List'!master_food_list,22,FALSE)</f>
        <v>Acme</v>
      </c>
      <c r="H108" s="208" t="str">
        <f>VLOOKUP($E108,'Master Food List'!master_food_list,4,FALSE)</f>
        <v>pkg</v>
      </c>
    </row>
    <row r="109" spans="1:8" ht="51" x14ac:dyDescent="0.2">
      <c r="A109" s="208" t="s">
        <v>509</v>
      </c>
      <c r="B109" s="163">
        <v>15</v>
      </c>
      <c r="C109" s="164" t="s">
        <v>210</v>
      </c>
      <c r="D109" s="164" t="s">
        <v>458</v>
      </c>
      <c r="E109" s="203" t="s">
        <v>519</v>
      </c>
      <c r="F109" s="208" t="str">
        <f>VLOOKUP($E109,'Master Food List'!master_food_list,21,FALSE)</f>
        <v>Backpacker's Pantry</v>
      </c>
      <c r="G109" s="208" t="str">
        <f>VLOOKUP($E109,'Master Food List'!master_food_list,22,FALSE)</f>
        <v>Backpacker's Pantry</v>
      </c>
      <c r="H109" s="208" t="str">
        <f>VLOOKUP($E109,'Master Food List'!master_food_list,4,FALSE)</f>
        <v>Pouch</v>
      </c>
    </row>
    <row r="110" spans="1:8" ht="51" x14ac:dyDescent="0.2">
      <c r="A110" s="208" t="s">
        <v>509</v>
      </c>
      <c r="B110" s="163">
        <v>15</v>
      </c>
      <c r="C110" s="164" t="s">
        <v>210</v>
      </c>
      <c r="D110" s="164" t="s">
        <v>457</v>
      </c>
      <c r="E110" s="203"/>
      <c r="F110" s="208" t="e">
        <f>VLOOKUP($E110,'Master Food List'!master_food_list,21,FALSE)</f>
        <v>#N/A</v>
      </c>
      <c r="G110" s="208" t="e">
        <f>VLOOKUP($E110,'Master Food List'!master_food_list,22,FALSE)</f>
        <v>#N/A</v>
      </c>
      <c r="H110" s="208" t="e">
        <f>VLOOKUP($E110,'Master Food List'!master_food_list,4,FALSE)</f>
        <v>#N/A</v>
      </c>
    </row>
    <row r="111" spans="1:8" ht="51" x14ac:dyDescent="0.2">
      <c r="A111" s="208" t="s">
        <v>509</v>
      </c>
      <c r="B111" s="163">
        <v>15</v>
      </c>
      <c r="C111" s="164" t="s">
        <v>210</v>
      </c>
      <c r="D111" s="164" t="s">
        <v>455</v>
      </c>
      <c r="E111" s="203" t="s">
        <v>483</v>
      </c>
      <c r="F111" s="208" t="str">
        <f>VLOOKUP($E111,'Master Food List'!master_food_list,21,FALSE)</f>
        <v>M &amp; M</v>
      </c>
      <c r="G111" s="208" t="str">
        <f>VLOOKUP($E111,'Master Food List'!master_food_list,22,FALSE)</f>
        <v>Acme</v>
      </c>
      <c r="H111" s="208" t="str">
        <f>VLOOKUP($E111,'Master Food List'!master_food_list,4,FALSE)</f>
        <v>2lb 10oz Bag</v>
      </c>
    </row>
    <row r="112" spans="1:8" ht="51" x14ac:dyDescent="0.2">
      <c r="A112" s="208" t="s">
        <v>509</v>
      </c>
      <c r="B112" s="163">
        <v>16</v>
      </c>
      <c r="C112" s="164" t="s">
        <v>210</v>
      </c>
      <c r="D112" s="164" t="s">
        <v>462</v>
      </c>
      <c r="E112" s="203" t="s">
        <v>481</v>
      </c>
      <c r="F112" s="208" t="str">
        <f>VLOOKUP($E112,'Master Food List'!master_food_list,21,FALSE)</f>
        <v>Kellog's</v>
      </c>
      <c r="G112" s="208" t="str">
        <f>VLOOKUP($E112,'Master Food List'!master_food_list,22,FALSE)</f>
        <v>Acme</v>
      </c>
      <c r="H112" s="208" t="str">
        <f>VLOOKUP($E112,'Master Food List'!master_food_list,4,FALSE)</f>
        <v>pkg</v>
      </c>
    </row>
    <row r="113" spans="1:8" ht="51" x14ac:dyDescent="0.2">
      <c r="A113" s="208" t="s">
        <v>509</v>
      </c>
      <c r="B113" s="163">
        <v>16</v>
      </c>
      <c r="C113" s="164" t="s">
        <v>210</v>
      </c>
      <c r="D113" s="164" t="s">
        <v>461</v>
      </c>
      <c r="E113" s="203" t="s">
        <v>325</v>
      </c>
      <c r="F113" s="208" t="str">
        <f>VLOOKUP($E113,'Master Food List'!master_food_list,21,FALSE)</f>
        <v>Epic</v>
      </c>
      <c r="G113" s="208" t="str">
        <f>VLOOKUP($E113,'Master Food List'!master_food_list,22,FALSE)</f>
        <v>Amazon</v>
      </c>
      <c r="H113" s="208" t="str">
        <f>VLOOKUP($E113,'Master Food List'!master_food_list,4,FALSE)</f>
        <v>Pack of 12</v>
      </c>
    </row>
    <row r="114" spans="1:8" ht="51" x14ac:dyDescent="0.2">
      <c r="A114" s="208" t="s">
        <v>509</v>
      </c>
      <c r="B114" s="163">
        <v>16</v>
      </c>
      <c r="C114" s="164" t="s">
        <v>210</v>
      </c>
      <c r="D114" s="164" t="s">
        <v>460</v>
      </c>
      <c r="E114" s="203" t="s">
        <v>495</v>
      </c>
      <c r="F114" s="208" t="str">
        <f>VLOOKUP($E114,'Master Food List'!master_food_list,21,FALSE)</f>
        <v>Starbucks &amp; Hoosier Hill Farm</v>
      </c>
      <c r="G114" s="208" t="str">
        <f>VLOOKUP($E114,'Master Food List'!master_food_list,22,FALSE)</f>
        <v>Amazon</v>
      </c>
      <c r="H114" s="208">
        <f>VLOOKUP($E114,'Master Food List'!master_food_list,4,FALSE)</f>
        <v>0</v>
      </c>
    </row>
    <row r="115" spans="1:8" ht="51" x14ac:dyDescent="0.2">
      <c r="A115" s="208" t="s">
        <v>509</v>
      </c>
      <c r="B115" s="163">
        <v>16</v>
      </c>
      <c r="C115" s="164" t="s">
        <v>210</v>
      </c>
      <c r="D115" s="164" t="s">
        <v>459</v>
      </c>
      <c r="E115" s="203" t="s">
        <v>487</v>
      </c>
      <c r="F115" s="208" t="str">
        <f>VLOOKUP($E115,'Master Food List'!master_food_list,21,FALSE)</f>
        <v>Krave</v>
      </c>
      <c r="G115" s="208" t="str">
        <f>VLOOKUP($E115,'Master Food List'!master_food_list,22,FALSE)</f>
        <v>Amazon</v>
      </c>
      <c r="H115" s="208" t="str">
        <f>VLOOKUP($E115,'Master Food List'!master_food_list,4,FALSE)</f>
        <v>Pack of 8</v>
      </c>
    </row>
    <row r="116" spans="1:8" ht="51" x14ac:dyDescent="0.2">
      <c r="A116" s="208" t="s">
        <v>509</v>
      </c>
      <c r="B116" s="163">
        <v>16</v>
      </c>
      <c r="C116" s="164" t="s">
        <v>210</v>
      </c>
      <c r="D116" s="164" t="s">
        <v>458</v>
      </c>
      <c r="E116" s="203" t="s">
        <v>294</v>
      </c>
      <c r="F116" s="208" t="str">
        <f>VLOOKUP($E116,'Master Food List'!master_food_list,21,FALSE)</f>
        <v>Mountain House</v>
      </c>
      <c r="G116" s="208" t="str">
        <f>VLOOKUP($E116,'Master Food List'!master_food_list,22,FALSE)</f>
        <v>Amazon</v>
      </c>
      <c r="H116" s="208" t="str">
        <f>VLOOKUP($E116,'Master Food List'!master_food_list,4,FALSE)</f>
        <v>#10 Can*</v>
      </c>
    </row>
    <row r="117" spans="1:8" ht="51" x14ac:dyDescent="0.2">
      <c r="A117" s="208" t="s">
        <v>509</v>
      </c>
      <c r="B117" s="163">
        <v>16</v>
      </c>
      <c r="C117" s="164" t="s">
        <v>210</v>
      </c>
      <c r="D117" s="164" t="s">
        <v>457</v>
      </c>
      <c r="E117" s="203"/>
      <c r="F117" s="208" t="e">
        <f>VLOOKUP($E117,'Master Food List'!master_food_list,21,FALSE)</f>
        <v>#N/A</v>
      </c>
      <c r="G117" s="208" t="e">
        <f>VLOOKUP($E117,'Master Food List'!master_food_list,22,FALSE)</f>
        <v>#N/A</v>
      </c>
      <c r="H117" s="208" t="e">
        <f>VLOOKUP($E117,'Master Food List'!master_food_list,4,FALSE)</f>
        <v>#N/A</v>
      </c>
    </row>
    <row r="118" spans="1:8" ht="51" x14ac:dyDescent="0.2">
      <c r="A118" s="208" t="s">
        <v>509</v>
      </c>
      <c r="B118" s="163">
        <v>16</v>
      </c>
      <c r="C118" s="164" t="s">
        <v>210</v>
      </c>
      <c r="D118" s="164" t="s">
        <v>455</v>
      </c>
      <c r="E118" s="203" t="s">
        <v>482</v>
      </c>
      <c r="F118" s="208" t="str">
        <f>VLOOKUP($E118,'Master Food List'!master_food_list,21,FALSE)</f>
        <v>Swiss Miss</v>
      </c>
      <c r="G118" s="208" t="str">
        <f>VLOOKUP($E118,'Master Food List'!master_food_list,22,FALSE)</f>
        <v>Amazon</v>
      </c>
      <c r="H118" s="208" t="str">
        <f>VLOOKUP($E118,'Master Food List'!master_food_list,4,FALSE)</f>
        <v>Pack of 3 boxes</v>
      </c>
    </row>
    <row r="119" spans="1:8" ht="51" x14ac:dyDescent="0.2">
      <c r="A119" s="208" t="s">
        <v>509</v>
      </c>
      <c r="B119" s="171">
        <v>17</v>
      </c>
      <c r="C119" s="188" t="s">
        <v>210</v>
      </c>
      <c r="D119" s="188" t="s">
        <v>462</v>
      </c>
      <c r="E119" s="205" t="s">
        <v>480</v>
      </c>
      <c r="F119" s="208" t="str">
        <f>VLOOKUP($E119,'Master Food List'!master_food_list,21,FALSE)</f>
        <v>Backpacker's Pantry</v>
      </c>
      <c r="G119" s="208" t="str">
        <f>VLOOKUP($E119,'Master Food List'!master_food_list,22,FALSE)</f>
        <v>Backpacker's Pantry</v>
      </c>
      <c r="H119" s="208" t="str">
        <f>VLOOKUP($E119,'Master Food List'!master_food_list,4,FALSE)</f>
        <v>Pouch</v>
      </c>
    </row>
    <row r="120" spans="1:8" ht="51" x14ac:dyDescent="0.2">
      <c r="A120" s="208" t="s">
        <v>509</v>
      </c>
      <c r="B120" s="171">
        <v>17</v>
      </c>
      <c r="C120" s="188" t="s">
        <v>210</v>
      </c>
      <c r="D120" s="188" t="s">
        <v>461</v>
      </c>
      <c r="E120" s="205" t="s">
        <v>430</v>
      </c>
      <c r="F120" s="208" t="str">
        <f>VLOOKUP($E120,'Master Food List'!master_food_list,21,FALSE)</f>
        <v>Alpine Aire</v>
      </c>
      <c r="G120" s="208" t="str">
        <f>VLOOKUP($E120,'Master Food List'!master_food_list,22,FALSE)</f>
        <v>Alpine Aire</v>
      </c>
      <c r="H120" s="208" t="str">
        <f>VLOOKUP($E120,'Master Food List'!master_food_list,4,FALSE)</f>
        <v>Pouch</v>
      </c>
    </row>
    <row r="121" spans="1:8" ht="51" x14ac:dyDescent="0.2">
      <c r="A121" s="208" t="s">
        <v>509</v>
      </c>
      <c r="B121" s="171">
        <v>17</v>
      </c>
      <c r="C121" s="188" t="s">
        <v>210</v>
      </c>
      <c r="D121" s="188" t="s">
        <v>460</v>
      </c>
      <c r="E121" s="205"/>
      <c r="F121" s="208" t="e">
        <f>VLOOKUP($E121,'Master Food List'!master_food_list,21,FALSE)</f>
        <v>#N/A</v>
      </c>
      <c r="G121" s="208" t="e">
        <f>VLOOKUP($E121,'Master Food List'!master_food_list,22,FALSE)</f>
        <v>#N/A</v>
      </c>
      <c r="H121" s="208" t="e">
        <f>VLOOKUP($E121,'Master Food List'!master_food_list,4,FALSE)</f>
        <v>#N/A</v>
      </c>
    </row>
    <row r="122" spans="1:8" ht="51" x14ac:dyDescent="0.2">
      <c r="A122" s="208" t="s">
        <v>509</v>
      </c>
      <c r="B122" s="171">
        <v>17</v>
      </c>
      <c r="C122" s="188" t="s">
        <v>210</v>
      </c>
      <c r="D122" s="188" t="s">
        <v>459</v>
      </c>
      <c r="E122" s="205" t="s">
        <v>433</v>
      </c>
      <c r="F122" s="208" t="str">
        <f>VLOOKUP($E122,'Master Food List'!master_food_list,21,FALSE)</f>
        <v>Alpine Aire</v>
      </c>
      <c r="G122" s="208" t="str">
        <f>VLOOKUP($E122,'Master Food List'!master_food_list,22,FALSE)</f>
        <v>Alpine Aire</v>
      </c>
      <c r="H122" s="208" t="str">
        <f>VLOOKUP($E122,'Master Food List'!master_food_list,4,FALSE)</f>
        <v>Pouch</v>
      </c>
    </row>
    <row r="123" spans="1:8" ht="51" x14ac:dyDescent="0.2">
      <c r="A123" s="208" t="s">
        <v>509</v>
      </c>
      <c r="B123" s="171">
        <v>17</v>
      </c>
      <c r="C123" s="188" t="s">
        <v>210</v>
      </c>
      <c r="D123" s="188" t="s">
        <v>458</v>
      </c>
      <c r="E123" s="205" t="s">
        <v>503</v>
      </c>
      <c r="F123" s="208" t="str">
        <f>VLOOKUP($E123,'Master Food List'!master_food_list,21,FALSE)</f>
        <v>Backpacker's Pantry</v>
      </c>
      <c r="G123" s="208" t="str">
        <f>VLOOKUP($E123,'Master Food List'!master_food_list,22,FALSE)</f>
        <v>Amazon</v>
      </c>
      <c r="H123" s="208" t="str">
        <f>VLOOKUP($E123,'Master Food List'!master_food_list,4,FALSE)</f>
        <v>Pouch</v>
      </c>
    </row>
    <row r="124" spans="1:8" ht="51" x14ac:dyDescent="0.2">
      <c r="A124" s="208" t="s">
        <v>509</v>
      </c>
      <c r="B124" s="171">
        <v>17</v>
      </c>
      <c r="C124" s="188" t="s">
        <v>210</v>
      </c>
      <c r="D124" s="188" t="s">
        <v>457</v>
      </c>
      <c r="E124" s="205" t="s">
        <v>479</v>
      </c>
      <c r="F124" s="208" t="str">
        <f>VLOOKUP($E124,'Master Food List'!master_food_list,21,FALSE)</f>
        <v>Justin's</v>
      </c>
      <c r="G124" s="208" t="str">
        <f>VLOOKUP($E124,'Master Food List'!master_food_list,22,FALSE)</f>
        <v>Amazon</v>
      </c>
      <c r="H124" s="208" t="str">
        <f>VLOOKUP($E124,'Master Food List'!master_food_list,4,FALSE)</f>
        <v>Jar</v>
      </c>
    </row>
    <row r="125" spans="1:8" ht="51" x14ac:dyDescent="0.2">
      <c r="A125" s="208" t="s">
        <v>509</v>
      </c>
      <c r="B125" s="171">
        <v>17</v>
      </c>
      <c r="C125" s="188" t="s">
        <v>210</v>
      </c>
      <c r="D125" s="188" t="s">
        <v>455</v>
      </c>
      <c r="E125" s="205" t="s">
        <v>484</v>
      </c>
      <c r="F125" s="208" t="str">
        <f>VLOOKUP($E125,'Master Food List'!master_food_list,21,FALSE)</f>
        <v>Backpacker's Pantry</v>
      </c>
      <c r="G125" s="208" t="str">
        <f>VLOOKUP($E125,'Master Food List'!master_food_list,22,FALSE)</f>
        <v>Backpacker's Pantry</v>
      </c>
      <c r="H125" s="208" t="str">
        <f>VLOOKUP($E125,'Master Food List'!master_food_list,4,FALSE)</f>
        <v>Pouch</v>
      </c>
    </row>
    <row r="126" spans="1:8" ht="51" x14ac:dyDescent="0.2">
      <c r="A126" s="208" t="s">
        <v>509</v>
      </c>
      <c r="B126" s="170">
        <v>18</v>
      </c>
      <c r="C126" s="168" t="s">
        <v>210</v>
      </c>
      <c r="D126" s="168" t="s">
        <v>462</v>
      </c>
      <c r="E126" s="193" t="s">
        <v>481</v>
      </c>
      <c r="F126" s="208" t="str">
        <f>VLOOKUP($E126,'Master Food List'!master_food_list,21,FALSE)</f>
        <v>Kellog's</v>
      </c>
      <c r="G126" s="208" t="str">
        <f>VLOOKUP($E126,'Master Food List'!master_food_list,22,FALSE)</f>
        <v>Acme</v>
      </c>
      <c r="H126" s="208" t="str">
        <f>VLOOKUP($E126,'Master Food List'!master_food_list,4,FALSE)</f>
        <v>pkg</v>
      </c>
    </row>
    <row r="127" spans="1:8" ht="51" x14ac:dyDescent="0.2">
      <c r="A127" s="208" t="s">
        <v>509</v>
      </c>
      <c r="B127" s="170">
        <v>18</v>
      </c>
      <c r="C127" s="168" t="s">
        <v>210</v>
      </c>
      <c r="D127" s="168" t="s">
        <v>461</v>
      </c>
      <c r="E127" s="193" t="s">
        <v>433</v>
      </c>
      <c r="F127" s="208" t="str">
        <f>VLOOKUP($E127,'Master Food List'!master_food_list,21,FALSE)</f>
        <v>Alpine Aire</v>
      </c>
      <c r="G127" s="208" t="str">
        <f>VLOOKUP($E127,'Master Food List'!master_food_list,22,FALSE)</f>
        <v>Alpine Aire</v>
      </c>
      <c r="H127" s="208" t="str">
        <f>VLOOKUP($E127,'Master Food List'!master_food_list,4,FALSE)</f>
        <v>Pouch</v>
      </c>
    </row>
    <row r="128" spans="1:8" ht="51" x14ac:dyDescent="0.2">
      <c r="A128" s="208" t="s">
        <v>509</v>
      </c>
      <c r="B128" s="170">
        <v>18</v>
      </c>
      <c r="C128" s="168" t="s">
        <v>210</v>
      </c>
      <c r="D128" s="168" t="s">
        <v>460</v>
      </c>
      <c r="E128" s="193"/>
      <c r="F128" s="208" t="e">
        <f>VLOOKUP($E128,'Master Food List'!master_food_list,21,FALSE)</f>
        <v>#N/A</v>
      </c>
      <c r="G128" s="208" t="e">
        <f>VLOOKUP($E128,'Master Food List'!master_food_list,22,FALSE)</f>
        <v>#N/A</v>
      </c>
      <c r="H128" s="208" t="e">
        <f>VLOOKUP($E128,'Master Food List'!master_food_list,4,FALSE)</f>
        <v>#N/A</v>
      </c>
    </row>
    <row r="129" spans="1:8" ht="51" x14ac:dyDescent="0.2">
      <c r="A129" s="208" t="s">
        <v>509</v>
      </c>
      <c r="B129" s="170">
        <v>18</v>
      </c>
      <c r="C129" s="168" t="s">
        <v>210</v>
      </c>
      <c r="D129" s="168" t="s">
        <v>459</v>
      </c>
      <c r="E129" s="193" t="s">
        <v>347</v>
      </c>
      <c r="F129" s="208" t="str">
        <f>VLOOKUP($E129,'Master Food List'!master_food_list,21,FALSE)</f>
        <v>Thrive Life</v>
      </c>
      <c r="G129" s="208" t="str">
        <f>VLOOKUP($E129,'Master Food List'!master_food_list,22,FALSE)</f>
        <v>Thrive Life</v>
      </c>
      <c r="H129" s="208" t="str">
        <f>VLOOKUP($E129,'Master Food List'!master_food_list,4,FALSE)</f>
        <v>Pouch</v>
      </c>
    </row>
    <row r="130" spans="1:8" ht="51" x14ac:dyDescent="0.2">
      <c r="A130" s="208" t="s">
        <v>509</v>
      </c>
      <c r="B130" s="170">
        <v>18</v>
      </c>
      <c r="C130" s="168" t="s">
        <v>210</v>
      </c>
      <c r="D130" s="168" t="s">
        <v>458</v>
      </c>
      <c r="E130" s="193" t="s">
        <v>504</v>
      </c>
      <c r="F130" s="208" t="str">
        <f>VLOOKUP($E130,'Master Food List'!master_food_list,21,FALSE)</f>
        <v>Backpacker's Pantry</v>
      </c>
      <c r="G130" s="208" t="str">
        <f>VLOOKUP($E130,'Master Food List'!master_food_list,22,FALSE)</f>
        <v>Backpacker's Pantry</v>
      </c>
      <c r="H130" s="208" t="str">
        <f>VLOOKUP($E130,'Master Food List'!master_food_list,4,FALSE)</f>
        <v>Pouch</v>
      </c>
    </row>
    <row r="131" spans="1:8" ht="51" x14ac:dyDescent="0.2">
      <c r="A131" s="208" t="s">
        <v>509</v>
      </c>
      <c r="B131" s="170">
        <v>18</v>
      </c>
      <c r="C131" s="168" t="s">
        <v>210</v>
      </c>
      <c r="D131" s="168" t="s">
        <v>457</v>
      </c>
      <c r="E131" s="193" t="s">
        <v>479</v>
      </c>
      <c r="F131" s="208" t="str">
        <f>VLOOKUP($E131,'Master Food List'!master_food_list,21,FALSE)</f>
        <v>Justin's</v>
      </c>
      <c r="G131" s="208" t="str">
        <f>VLOOKUP($E131,'Master Food List'!master_food_list,22,FALSE)</f>
        <v>Amazon</v>
      </c>
      <c r="H131" s="208" t="str">
        <f>VLOOKUP($E131,'Master Food List'!master_food_list,4,FALSE)</f>
        <v>Jar</v>
      </c>
    </row>
    <row r="132" spans="1:8" ht="51" x14ac:dyDescent="0.2">
      <c r="A132" s="208" t="s">
        <v>509</v>
      </c>
      <c r="B132" s="170">
        <v>18</v>
      </c>
      <c r="C132" s="168" t="s">
        <v>210</v>
      </c>
      <c r="D132" s="168" t="s">
        <v>455</v>
      </c>
      <c r="E132" s="193" t="s">
        <v>313</v>
      </c>
      <c r="F132" s="208" t="str">
        <f>VLOOKUP($E132,'Master Food List'!master_food_list,21,FALSE)</f>
        <v>Mountain House</v>
      </c>
      <c r="G132" s="208" t="str">
        <f>VLOOKUP($E132,'Master Food List'!master_food_list,22,FALSE)</f>
        <v>Amazon</v>
      </c>
      <c r="H132" s="208" t="str">
        <f>VLOOKUP($E132,'Master Food List'!master_food_list,4,FALSE)</f>
        <v>12-pack</v>
      </c>
    </row>
    <row r="133" spans="1:8" ht="51" x14ac:dyDescent="0.2">
      <c r="A133" s="208" t="s">
        <v>509</v>
      </c>
      <c r="B133" s="170">
        <v>19</v>
      </c>
      <c r="C133" s="168" t="s">
        <v>210</v>
      </c>
      <c r="D133" s="168" t="s">
        <v>462</v>
      </c>
      <c r="E133" s="193" t="s">
        <v>485</v>
      </c>
      <c r="F133" s="208" t="str">
        <f>VLOOKUP($E133,'Master Food List'!master_food_list,21,FALSE)</f>
        <v>Mountain House</v>
      </c>
      <c r="G133" s="208" t="str">
        <f>VLOOKUP($E133,'Master Food List'!master_food_list,22,FALSE)</f>
        <v>Amazon</v>
      </c>
      <c r="H133" s="208" t="str">
        <f>VLOOKUP($E133,'Master Food List'!master_food_list,4,FALSE)</f>
        <v>#10 Can*</v>
      </c>
    </row>
    <row r="134" spans="1:8" ht="51" x14ac:dyDescent="0.2">
      <c r="A134" s="208" t="s">
        <v>509</v>
      </c>
      <c r="B134" s="170">
        <v>19</v>
      </c>
      <c r="C134" s="168" t="s">
        <v>210</v>
      </c>
      <c r="D134" s="168" t="s">
        <v>461</v>
      </c>
      <c r="E134" s="193" t="s">
        <v>333</v>
      </c>
      <c r="F134" s="208" t="str">
        <f>VLOOKUP($E134,'Master Food List'!master_food_list,21,FALSE)</f>
        <v>Thrive Life</v>
      </c>
      <c r="G134" s="208" t="str">
        <f>VLOOKUP($E134,'Master Food List'!master_food_list,22,FALSE)</f>
        <v>Thrive Life</v>
      </c>
      <c r="H134" s="208" t="str">
        <f>VLOOKUP($E134,'Master Food List'!master_food_list,4,FALSE)</f>
        <v>Pouch</v>
      </c>
    </row>
    <row r="135" spans="1:8" ht="51" x14ac:dyDescent="0.2">
      <c r="A135" s="208" t="s">
        <v>509</v>
      </c>
      <c r="B135" s="170">
        <v>19</v>
      </c>
      <c r="C135" s="168" t="s">
        <v>210</v>
      </c>
      <c r="D135" s="168" t="s">
        <v>460</v>
      </c>
      <c r="E135" s="193"/>
      <c r="F135" s="208" t="e">
        <f>VLOOKUP($E135,'Master Food List'!master_food_list,21,FALSE)</f>
        <v>#N/A</v>
      </c>
      <c r="G135" s="208" t="e">
        <f>VLOOKUP($E135,'Master Food List'!master_food_list,22,FALSE)</f>
        <v>#N/A</v>
      </c>
      <c r="H135" s="208" t="e">
        <f>VLOOKUP($E135,'Master Food List'!master_food_list,4,FALSE)</f>
        <v>#N/A</v>
      </c>
    </row>
    <row r="136" spans="1:8" ht="51" x14ac:dyDescent="0.2">
      <c r="A136" s="208" t="s">
        <v>509</v>
      </c>
      <c r="B136" s="170">
        <v>19</v>
      </c>
      <c r="C136" s="168" t="s">
        <v>210</v>
      </c>
      <c r="D136" s="168" t="s">
        <v>459</v>
      </c>
      <c r="E136" s="193" t="s">
        <v>325</v>
      </c>
      <c r="F136" s="208" t="str">
        <f>VLOOKUP($E136,'Master Food List'!master_food_list,21,FALSE)</f>
        <v>Epic</v>
      </c>
      <c r="G136" s="208" t="str">
        <f>VLOOKUP($E136,'Master Food List'!master_food_list,22,FALSE)</f>
        <v>Amazon</v>
      </c>
      <c r="H136" s="208" t="str">
        <f>VLOOKUP($E136,'Master Food List'!master_food_list,4,FALSE)</f>
        <v>Pack of 12</v>
      </c>
    </row>
    <row r="137" spans="1:8" ht="51" x14ac:dyDescent="0.2">
      <c r="A137" s="208" t="s">
        <v>509</v>
      </c>
      <c r="B137" s="170">
        <v>19</v>
      </c>
      <c r="C137" s="168" t="s">
        <v>210</v>
      </c>
      <c r="D137" s="168" t="s">
        <v>458</v>
      </c>
      <c r="E137" s="193" t="s">
        <v>445</v>
      </c>
      <c r="F137" s="208" t="str">
        <f>VLOOKUP($E137,'Master Food List'!master_food_list,21,FALSE)</f>
        <v>Alpine Aire</v>
      </c>
      <c r="G137" s="208" t="str">
        <f>VLOOKUP($E137,'Master Food List'!master_food_list,22,FALSE)</f>
        <v>Alpine Aire</v>
      </c>
      <c r="H137" s="208" t="str">
        <f>VLOOKUP($E137,'Master Food List'!master_food_list,4,FALSE)</f>
        <v>Pouch</v>
      </c>
    </row>
    <row r="138" spans="1:8" ht="51" x14ac:dyDescent="0.2">
      <c r="A138" s="208" t="s">
        <v>509</v>
      </c>
      <c r="B138" s="170">
        <v>19</v>
      </c>
      <c r="C138" s="168" t="s">
        <v>210</v>
      </c>
      <c r="D138" s="168" t="s">
        <v>457</v>
      </c>
      <c r="E138" s="193" t="s">
        <v>479</v>
      </c>
      <c r="F138" s="208" t="str">
        <f>VLOOKUP($E138,'Master Food List'!master_food_list,21,FALSE)</f>
        <v>Justin's</v>
      </c>
      <c r="G138" s="208" t="str">
        <f>VLOOKUP($E138,'Master Food List'!master_food_list,22,FALSE)</f>
        <v>Amazon</v>
      </c>
      <c r="H138" s="208" t="str">
        <f>VLOOKUP($E138,'Master Food List'!master_food_list,4,FALSE)</f>
        <v>Jar</v>
      </c>
    </row>
    <row r="139" spans="1:8" ht="51" x14ac:dyDescent="0.2">
      <c r="A139" s="208" t="s">
        <v>509</v>
      </c>
      <c r="B139" s="170">
        <v>19</v>
      </c>
      <c r="C139" s="168" t="s">
        <v>210</v>
      </c>
      <c r="D139" s="168" t="s">
        <v>455</v>
      </c>
      <c r="E139" s="193" t="s">
        <v>505</v>
      </c>
      <c r="F139" s="208" t="str">
        <f>VLOOKUP($E139,'Master Food List'!master_food_list,21,FALSE)</f>
        <v>Backpacker's Pantry</v>
      </c>
      <c r="G139" s="208" t="str">
        <f>VLOOKUP($E139,'Master Food List'!master_food_list,22,FALSE)</f>
        <v>Backpacker's Pantry</v>
      </c>
      <c r="H139" s="208" t="str">
        <f>VLOOKUP($E139,'Master Food List'!master_food_list,4,FALSE)</f>
        <v>Pouch</v>
      </c>
    </row>
    <row r="140" spans="1:8" ht="51" x14ac:dyDescent="0.2">
      <c r="A140" s="208" t="s">
        <v>509</v>
      </c>
      <c r="B140" s="170">
        <v>20</v>
      </c>
      <c r="C140" s="168" t="s">
        <v>210</v>
      </c>
      <c r="D140" s="168" t="s">
        <v>462</v>
      </c>
      <c r="E140" s="193" t="s">
        <v>480</v>
      </c>
      <c r="F140" s="208" t="str">
        <f>VLOOKUP($E140,'Master Food List'!master_food_list,21,FALSE)</f>
        <v>Backpacker's Pantry</v>
      </c>
      <c r="G140" s="208" t="str">
        <f>VLOOKUP($E140,'Master Food List'!master_food_list,22,FALSE)</f>
        <v>Backpacker's Pantry</v>
      </c>
      <c r="H140" s="208" t="str">
        <f>VLOOKUP($E140,'Master Food List'!master_food_list,4,FALSE)</f>
        <v>Pouch</v>
      </c>
    </row>
    <row r="141" spans="1:8" ht="51" x14ac:dyDescent="0.2">
      <c r="A141" s="208" t="s">
        <v>509</v>
      </c>
      <c r="B141" s="170">
        <v>20</v>
      </c>
      <c r="C141" s="168" t="s">
        <v>210</v>
      </c>
      <c r="D141" s="168" t="s">
        <v>461</v>
      </c>
      <c r="E141" s="193" t="s">
        <v>414</v>
      </c>
      <c r="F141" s="208" t="str">
        <f>VLOOKUP($E141,'Master Food List'!master_food_list,21,FALSE)</f>
        <v>Snickers</v>
      </c>
      <c r="G141" s="208" t="str">
        <f>VLOOKUP($E141,'Master Food List'!master_food_list,22,FALSE)</f>
        <v>Acme</v>
      </c>
      <c r="H141" s="208" t="str">
        <f>VLOOKUP($E141,'Master Food List'!master_food_list,4,FALSE)</f>
        <v>Bar</v>
      </c>
    </row>
    <row r="142" spans="1:8" ht="51" x14ac:dyDescent="0.2">
      <c r="A142" s="208" t="s">
        <v>509</v>
      </c>
      <c r="B142" s="170">
        <v>20</v>
      </c>
      <c r="C142" s="168" t="s">
        <v>210</v>
      </c>
      <c r="D142" s="168" t="s">
        <v>460</v>
      </c>
      <c r="E142" s="193"/>
      <c r="F142" s="208" t="e">
        <f>VLOOKUP($E142,'Master Food List'!master_food_list,21,FALSE)</f>
        <v>#N/A</v>
      </c>
      <c r="G142" s="208" t="e">
        <f>VLOOKUP($E142,'Master Food List'!master_food_list,22,FALSE)</f>
        <v>#N/A</v>
      </c>
      <c r="H142" s="208" t="e">
        <f>VLOOKUP($E142,'Master Food List'!master_food_list,4,FALSE)</f>
        <v>#N/A</v>
      </c>
    </row>
    <row r="143" spans="1:8" ht="51" x14ac:dyDescent="0.2">
      <c r="A143" s="208" t="s">
        <v>509</v>
      </c>
      <c r="B143" s="170">
        <v>20</v>
      </c>
      <c r="C143" s="168" t="s">
        <v>210</v>
      </c>
      <c r="D143" s="168" t="s">
        <v>459</v>
      </c>
      <c r="E143" s="193" t="s">
        <v>347</v>
      </c>
      <c r="F143" s="208" t="str">
        <f>VLOOKUP($E143,'Master Food List'!master_food_list,21,FALSE)</f>
        <v>Thrive Life</v>
      </c>
      <c r="G143" s="208" t="str">
        <f>VLOOKUP($E143,'Master Food List'!master_food_list,22,FALSE)</f>
        <v>Thrive Life</v>
      </c>
      <c r="H143" s="208" t="str">
        <f>VLOOKUP($E143,'Master Food List'!master_food_list,4,FALSE)</f>
        <v>Pouch</v>
      </c>
    </row>
    <row r="144" spans="1:8" ht="51" x14ac:dyDescent="0.2">
      <c r="A144" s="208" t="s">
        <v>509</v>
      </c>
      <c r="B144" s="170">
        <v>20</v>
      </c>
      <c r="C144" s="168" t="s">
        <v>210</v>
      </c>
      <c r="D144" s="168" t="s">
        <v>458</v>
      </c>
      <c r="E144" s="193" t="s">
        <v>336</v>
      </c>
      <c r="F144" s="208" t="str">
        <f>VLOOKUP($E144,'Master Food List'!master_food_list,21,FALSE)</f>
        <v>Mountain House</v>
      </c>
      <c r="G144" s="208" t="str">
        <f>VLOOKUP($E144,'Master Food List'!master_food_list,22,FALSE)</f>
        <v>Amazon</v>
      </c>
      <c r="H144" s="208" t="str">
        <f>VLOOKUP($E144,'Master Food List'!master_food_list,4,FALSE)</f>
        <v>#10 Can*</v>
      </c>
    </row>
    <row r="145" spans="1:8" ht="51" x14ac:dyDescent="0.2">
      <c r="A145" s="208" t="s">
        <v>509</v>
      </c>
      <c r="B145" s="170">
        <v>20</v>
      </c>
      <c r="C145" s="168" t="s">
        <v>210</v>
      </c>
      <c r="D145" s="168" t="s">
        <v>457</v>
      </c>
      <c r="E145" s="193" t="s">
        <v>479</v>
      </c>
      <c r="F145" s="208" t="str">
        <f>VLOOKUP($E145,'Master Food List'!master_food_list,21,FALSE)</f>
        <v>Justin's</v>
      </c>
      <c r="G145" s="208" t="str">
        <f>VLOOKUP($E145,'Master Food List'!master_food_list,22,FALSE)</f>
        <v>Amazon</v>
      </c>
      <c r="H145" s="208" t="str">
        <f>VLOOKUP($E145,'Master Food List'!master_food_list,4,FALSE)</f>
        <v>Jar</v>
      </c>
    </row>
    <row r="146" spans="1:8" ht="51" x14ac:dyDescent="0.2">
      <c r="A146" s="208" t="s">
        <v>509</v>
      </c>
      <c r="B146" s="170">
        <v>20</v>
      </c>
      <c r="C146" s="168" t="s">
        <v>210</v>
      </c>
      <c r="D146" s="168" t="s">
        <v>455</v>
      </c>
      <c r="E146" s="193" t="s">
        <v>478</v>
      </c>
      <c r="F146" s="208" t="str">
        <f>VLOOKUP($E146,'Master Food List'!master_food_list,21,FALSE)</f>
        <v>Mountain House</v>
      </c>
      <c r="G146" s="208" t="str">
        <f>VLOOKUP($E146,'Master Food List'!master_food_list,22,FALSE)</f>
        <v>Amazon</v>
      </c>
      <c r="H146" s="208" t="str">
        <f>VLOOKUP($E146,'Master Food List'!master_food_list,4,FALSE)</f>
        <v>6-Pack</v>
      </c>
    </row>
    <row r="147" spans="1:8" ht="51" x14ac:dyDescent="0.2">
      <c r="A147" s="208" t="s">
        <v>509</v>
      </c>
      <c r="B147" s="163">
        <v>21</v>
      </c>
      <c r="C147" s="164" t="s">
        <v>456</v>
      </c>
      <c r="D147" s="164" t="s">
        <v>462</v>
      </c>
      <c r="E147" s="203" t="s">
        <v>498</v>
      </c>
      <c r="F147" s="208" t="str">
        <f>VLOOKUP($E147,'Master Food List'!master_food_list,21,FALSE)</f>
        <v>? &amp; Mountain House</v>
      </c>
      <c r="G147" s="208" t="str">
        <f>VLOOKUP($E147,'Master Food List'!master_food_list,22,FALSE)</f>
        <v>Acme &amp; Mountain House</v>
      </c>
      <c r="H147" s="208">
        <f>VLOOKUP($E147,'Master Food List'!master_food_list,4,FALSE)</f>
        <v>0</v>
      </c>
    </row>
    <row r="148" spans="1:8" ht="51" x14ac:dyDescent="0.2">
      <c r="A148" s="208" t="s">
        <v>509</v>
      </c>
      <c r="B148" s="163">
        <v>21</v>
      </c>
      <c r="C148" s="164" t="s">
        <v>456</v>
      </c>
      <c r="D148" s="164" t="s">
        <v>461</v>
      </c>
      <c r="E148" s="203" t="s">
        <v>522</v>
      </c>
      <c r="F148" s="208" t="str">
        <f>VLOOKUP($E148,'Master Food List'!master_food_list,21,FALSE)</f>
        <v>Cheetos</v>
      </c>
      <c r="G148" s="208" t="str">
        <f>VLOOKUP($E148,'Master Food List'!master_food_list,22,FALSE)</f>
        <v>Acme</v>
      </c>
      <c r="H148" s="208" t="str">
        <f>VLOOKUP($E148,'Master Food List'!master_food_list,4,FALSE)</f>
        <v>pkg</v>
      </c>
    </row>
    <row r="149" spans="1:8" ht="51" x14ac:dyDescent="0.2">
      <c r="A149" s="208" t="s">
        <v>509</v>
      </c>
      <c r="B149" s="163">
        <v>21</v>
      </c>
      <c r="C149" s="164" t="s">
        <v>456</v>
      </c>
      <c r="D149" s="164" t="s">
        <v>460</v>
      </c>
      <c r="E149" s="203" t="s">
        <v>495</v>
      </c>
      <c r="F149" s="208" t="str">
        <f>VLOOKUP($E149,'Master Food List'!master_food_list,21,FALSE)</f>
        <v>Starbucks &amp; Hoosier Hill Farm</v>
      </c>
      <c r="G149" s="208" t="str">
        <f>VLOOKUP($E149,'Master Food List'!master_food_list,22,FALSE)</f>
        <v>Amazon</v>
      </c>
      <c r="H149" s="208">
        <f>VLOOKUP($E149,'Master Food List'!master_food_list,4,FALSE)</f>
        <v>0</v>
      </c>
    </row>
    <row r="150" spans="1:8" ht="51" x14ac:dyDescent="0.2">
      <c r="A150" s="208" t="s">
        <v>509</v>
      </c>
      <c r="B150" s="163">
        <v>21</v>
      </c>
      <c r="C150" s="164" t="s">
        <v>456</v>
      </c>
      <c r="D150" s="164" t="s">
        <v>459</v>
      </c>
      <c r="E150" s="203" t="s">
        <v>333</v>
      </c>
      <c r="F150" s="208" t="str">
        <f>VLOOKUP($E150,'Master Food List'!master_food_list,21,FALSE)</f>
        <v>Thrive Life</v>
      </c>
      <c r="G150" s="208" t="str">
        <f>VLOOKUP($E150,'Master Food List'!master_food_list,22,FALSE)</f>
        <v>Thrive Life</v>
      </c>
      <c r="H150" s="208" t="str">
        <f>VLOOKUP($E150,'Master Food List'!master_food_list,4,FALSE)</f>
        <v>Pouch</v>
      </c>
    </row>
    <row r="151" spans="1:8" ht="51" x14ac:dyDescent="0.2">
      <c r="A151" s="208" t="s">
        <v>509</v>
      </c>
      <c r="B151" s="163">
        <v>21</v>
      </c>
      <c r="C151" s="164" t="s">
        <v>456</v>
      </c>
      <c r="D151" s="164" t="s">
        <v>458</v>
      </c>
      <c r="E151" s="203" t="s">
        <v>409</v>
      </c>
      <c r="F151" s="208" t="str">
        <f>VLOOKUP($E151,'Master Food List'!master_food_list,21,FALSE)</f>
        <v>Backpacker's Pantry</v>
      </c>
      <c r="G151" s="208" t="str">
        <f>VLOOKUP($E151,'Master Food List'!master_food_list,22,FALSE)</f>
        <v>Amazon</v>
      </c>
      <c r="H151" s="208" t="str">
        <f>VLOOKUP($E151,'Master Food List'!master_food_list,4,FALSE)</f>
        <v>#10 Can*</v>
      </c>
    </row>
    <row r="152" spans="1:8" ht="51" x14ac:dyDescent="0.2">
      <c r="A152" s="208" t="s">
        <v>509</v>
      </c>
      <c r="B152" s="163">
        <v>21</v>
      </c>
      <c r="C152" s="164" t="s">
        <v>456</v>
      </c>
      <c r="D152" s="164" t="s">
        <v>457</v>
      </c>
      <c r="E152" s="203"/>
      <c r="F152" s="208" t="e">
        <f>VLOOKUP($E152,'Master Food List'!master_food_list,21,FALSE)</f>
        <v>#N/A</v>
      </c>
      <c r="G152" s="208" t="e">
        <f>VLOOKUP($E152,'Master Food List'!master_food_list,22,FALSE)</f>
        <v>#N/A</v>
      </c>
      <c r="H152" s="208" t="e">
        <f>VLOOKUP($E152,'Master Food List'!master_food_list,4,FALSE)</f>
        <v>#N/A</v>
      </c>
    </row>
    <row r="153" spans="1:8" ht="51" x14ac:dyDescent="0.2">
      <c r="A153" s="208" t="s">
        <v>509</v>
      </c>
      <c r="B153" s="163">
        <v>21</v>
      </c>
      <c r="C153" s="164" t="s">
        <v>456</v>
      </c>
      <c r="D153" s="164" t="s">
        <v>455</v>
      </c>
      <c r="E153" s="203" t="s">
        <v>483</v>
      </c>
      <c r="F153" s="208" t="str">
        <f>VLOOKUP($E153,'Master Food List'!master_food_list,21,FALSE)</f>
        <v>M &amp; M</v>
      </c>
      <c r="G153" s="208" t="str">
        <f>VLOOKUP($E153,'Master Food List'!master_food_list,22,FALSE)</f>
        <v>Acme</v>
      </c>
      <c r="H153" s="208" t="str">
        <f>VLOOKUP($E153,'Master Food List'!master_food_list,4,FALSE)</f>
        <v>2lb 10oz Bag</v>
      </c>
    </row>
    <row r="154" spans="1:8" ht="51" x14ac:dyDescent="0.2">
      <c r="A154" s="208" t="s">
        <v>509</v>
      </c>
      <c r="B154" s="163">
        <v>22</v>
      </c>
      <c r="C154" s="164" t="s">
        <v>456</v>
      </c>
      <c r="D154" s="164" t="s">
        <v>462</v>
      </c>
      <c r="E154" s="203" t="s">
        <v>481</v>
      </c>
      <c r="F154" s="208" t="str">
        <f>VLOOKUP($E154,'Master Food List'!master_food_list,21,FALSE)</f>
        <v>Kellog's</v>
      </c>
      <c r="G154" s="208" t="str">
        <f>VLOOKUP($E154,'Master Food List'!master_food_list,22,FALSE)</f>
        <v>Acme</v>
      </c>
      <c r="H154" s="208" t="str">
        <f>VLOOKUP($E154,'Master Food List'!master_food_list,4,FALSE)</f>
        <v>pkg</v>
      </c>
    </row>
    <row r="155" spans="1:8" ht="51" x14ac:dyDescent="0.2">
      <c r="A155" s="208" t="s">
        <v>509</v>
      </c>
      <c r="B155" s="163">
        <v>22</v>
      </c>
      <c r="C155" s="164" t="s">
        <v>456</v>
      </c>
      <c r="D155" s="164" t="s">
        <v>461</v>
      </c>
      <c r="E155" s="203" t="s">
        <v>327</v>
      </c>
      <c r="F155" s="208" t="str">
        <f>VLOOKUP($E155,'Master Food List'!master_food_list,21,FALSE)</f>
        <v>Epic</v>
      </c>
      <c r="G155" s="208" t="str">
        <f>VLOOKUP($E155,'Master Food List'!master_food_list,22,FALSE)</f>
        <v>Amazon</v>
      </c>
      <c r="H155" s="208" t="str">
        <f>VLOOKUP($E155,'Master Food List'!master_food_list,4,FALSE)</f>
        <v>Pack of 12</v>
      </c>
    </row>
    <row r="156" spans="1:8" ht="51" x14ac:dyDescent="0.2">
      <c r="A156" s="208" t="s">
        <v>509</v>
      </c>
      <c r="B156" s="163">
        <v>22</v>
      </c>
      <c r="C156" s="164" t="s">
        <v>456</v>
      </c>
      <c r="D156" s="164" t="s">
        <v>460</v>
      </c>
      <c r="E156" s="203" t="s">
        <v>495</v>
      </c>
      <c r="F156" s="208" t="str">
        <f>VLOOKUP($E156,'Master Food List'!master_food_list,21,FALSE)</f>
        <v>Starbucks &amp; Hoosier Hill Farm</v>
      </c>
      <c r="G156" s="208" t="str">
        <f>VLOOKUP($E156,'Master Food List'!master_food_list,22,FALSE)</f>
        <v>Amazon</v>
      </c>
      <c r="H156" s="208">
        <f>VLOOKUP($E156,'Master Food List'!master_food_list,4,FALSE)</f>
        <v>0</v>
      </c>
    </row>
    <row r="157" spans="1:8" ht="51" x14ac:dyDescent="0.2">
      <c r="A157" s="208" t="s">
        <v>509</v>
      </c>
      <c r="B157" s="163">
        <v>22</v>
      </c>
      <c r="C157" s="164" t="s">
        <v>456</v>
      </c>
      <c r="D157" s="164" t="s">
        <v>459</v>
      </c>
      <c r="E157" s="203" t="s">
        <v>522</v>
      </c>
      <c r="F157" s="208" t="str">
        <f>VLOOKUP($E157,'Master Food List'!master_food_list,21,FALSE)</f>
        <v>Cheetos</v>
      </c>
      <c r="G157" s="208" t="str">
        <f>VLOOKUP($E157,'Master Food List'!master_food_list,22,FALSE)</f>
        <v>Acme</v>
      </c>
      <c r="H157" s="208" t="str">
        <f>VLOOKUP($E157,'Master Food List'!master_food_list,4,FALSE)</f>
        <v>pkg</v>
      </c>
    </row>
    <row r="158" spans="1:8" ht="51" x14ac:dyDescent="0.2">
      <c r="A158" s="208" t="s">
        <v>509</v>
      </c>
      <c r="B158" s="163">
        <v>22</v>
      </c>
      <c r="C158" s="164" t="s">
        <v>456</v>
      </c>
      <c r="D158" s="164" t="s">
        <v>458</v>
      </c>
      <c r="E158" s="203" t="s">
        <v>452</v>
      </c>
      <c r="F158" s="208" t="str">
        <f>VLOOKUP($E158,'Master Food List'!master_food_list,21,FALSE)</f>
        <v>Alpine Aire</v>
      </c>
      <c r="G158" s="208" t="str">
        <f>VLOOKUP($E158,'Master Food List'!master_food_list,22,FALSE)</f>
        <v>Alpine Aire</v>
      </c>
      <c r="H158" s="208" t="str">
        <f>VLOOKUP($E158,'Master Food List'!master_food_list,4,FALSE)</f>
        <v>Pouch</v>
      </c>
    </row>
    <row r="159" spans="1:8" ht="51" x14ac:dyDescent="0.2">
      <c r="A159" s="208" t="s">
        <v>509</v>
      </c>
      <c r="B159" s="163">
        <v>22</v>
      </c>
      <c r="C159" s="164" t="s">
        <v>456</v>
      </c>
      <c r="D159" s="164" t="s">
        <v>457</v>
      </c>
      <c r="E159" s="203"/>
      <c r="F159" s="208" t="e">
        <f>VLOOKUP($E159,'Master Food List'!master_food_list,21,FALSE)</f>
        <v>#N/A</v>
      </c>
      <c r="G159" s="208" t="e">
        <f>VLOOKUP($E159,'Master Food List'!master_food_list,22,FALSE)</f>
        <v>#N/A</v>
      </c>
      <c r="H159" s="208" t="e">
        <f>VLOOKUP($E159,'Master Food List'!master_food_list,4,FALSE)</f>
        <v>#N/A</v>
      </c>
    </row>
    <row r="160" spans="1:8" ht="51" x14ac:dyDescent="0.2">
      <c r="A160" s="208" t="s">
        <v>509</v>
      </c>
      <c r="B160" s="163">
        <v>22</v>
      </c>
      <c r="C160" s="164" t="s">
        <v>456</v>
      </c>
      <c r="D160" s="164" t="s">
        <v>455</v>
      </c>
      <c r="E160" s="203" t="s">
        <v>482</v>
      </c>
      <c r="F160" s="208" t="str">
        <f>VLOOKUP($E160,'Master Food List'!master_food_list,21,FALSE)</f>
        <v>Swiss Miss</v>
      </c>
      <c r="G160" s="208" t="str">
        <f>VLOOKUP($E160,'Master Food List'!master_food_list,22,FALSE)</f>
        <v>Amazon</v>
      </c>
      <c r="H160" s="208" t="str">
        <f>VLOOKUP($E160,'Master Food List'!master_food_list,4,FALSE)</f>
        <v>Pack of 3 boxes</v>
      </c>
    </row>
    <row r="161" spans="1:8" ht="51" x14ac:dyDescent="0.2">
      <c r="A161" s="208" t="s">
        <v>509</v>
      </c>
      <c r="B161" s="171">
        <v>23</v>
      </c>
      <c r="C161" s="188" t="s">
        <v>456</v>
      </c>
      <c r="D161" s="188" t="s">
        <v>462</v>
      </c>
      <c r="E161" s="205" t="s">
        <v>480</v>
      </c>
      <c r="F161" s="208" t="str">
        <f>VLOOKUP($E161,'Master Food List'!master_food_list,21,FALSE)</f>
        <v>Backpacker's Pantry</v>
      </c>
      <c r="G161" s="208" t="str">
        <f>VLOOKUP($E161,'Master Food List'!master_food_list,22,FALSE)</f>
        <v>Backpacker's Pantry</v>
      </c>
      <c r="H161" s="208" t="str">
        <f>VLOOKUP($E161,'Master Food List'!master_food_list,4,FALSE)</f>
        <v>Pouch</v>
      </c>
    </row>
    <row r="162" spans="1:8" ht="51" x14ac:dyDescent="0.2">
      <c r="A162" s="208" t="s">
        <v>509</v>
      </c>
      <c r="B162" s="171">
        <v>23</v>
      </c>
      <c r="C162" s="188" t="s">
        <v>456</v>
      </c>
      <c r="D162" s="188" t="s">
        <v>461</v>
      </c>
      <c r="E162" s="205" t="s">
        <v>430</v>
      </c>
      <c r="F162" s="208" t="str">
        <f>VLOOKUP($E162,'Master Food List'!master_food_list,21,FALSE)</f>
        <v>Alpine Aire</v>
      </c>
      <c r="G162" s="208" t="str">
        <f>VLOOKUP($E162,'Master Food List'!master_food_list,22,FALSE)</f>
        <v>Alpine Aire</v>
      </c>
      <c r="H162" s="208" t="str">
        <f>VLOOKUP($E162,'Master Food List'!master_food_list,4,FALSE)</f>
        <v>Pouch</v>
      </c>
    </row>
    <row r="163" spans="1:8" ht="51" x14ac:dyDescent="0.2">
      <c r="A163" s="208" t="s">
        <v>509</v>
      </c>
      <c r="B163" s="171">
        <v>23</v>
      </c>
      <c r="C163" s="188" t="s">
        <v>456</v>
      </c>
      <c r="D163" s="188" t="s">
        <v>460</v>
      </c>
      <c r="E163" s="205"/>
      <c r="F163" s="208" t="e">
        <f>VLOOKUP($E163,'Master Food List'!master_food_list,21,FALSE)</f>
        <v>#N/A</v>
      </c>
      <c r="G163" s="208" t="e">
        <f>VLOOKUP($E163,'Master Food List'!master_food_list,22,FALSE)</f>
        <v>#N/A</v>
      </c>
      <c r="H163" s="208" t="e">
        <f>VLOOKUP($E163,'Master Food List'!master_food_list,4,FALSE)</f>
        <v>#N/A</v>
      </c>
    </row>
    <row r="164" spans="1:8" ht="51" x14ac:dyDescent="0.2">
      <c r="A164" s="208" t="s">
        <v>509</v>
      </c>
      <c r="B164" s="171">
        <v>23</v>
      </c>
      <c r="C164" s="188" t="s">
        <v>456</v>
      </c>
      <c r="D164" s="188" t="s">
        <v>459</v>
      </c>
      <c r="E164" s="205" t="s">
        <v>347</v>
      </c>
      <c r="F164" s="208" t="str">
        <f>VLOOKUP($E164,'Master Food List'!master_food_list,21,FALSE)</f>
        <v>Thrive Life</v>
      </c>
      <c r="G164" s="208" t="str">
        <f>VLOOKUP($E164,'Master Food List'!master_food_list,22,FALSE)</f>
        <v>Thrive Life</v>
      </c>
      <c r="H164" s="208" t="str">
        <f>VLOOKUP($E164,'Master Food List'!master_food_list,4,FALSE)</f>
        <v>Pouch</v>
      </c>
    </row>
    <row r="165" spans="1:8" ht="51" x14ac:dyDescent="0.2">
      <c r="A165" s="208" t="s">
        <v>509</v>
      </c>
      <c r="B165" s="171">
        <v>23</v>
      </c>
      <c r="C165" s="188" t="s">
        <v>456</v>
      </c>
      <c r="D165" s="188" t="s">
        <v>458</v>
      </c>
      <c r="E165" s="205" t="s">
        <v>486</v>
      </c>
      <c r="F165" s="208" t="str">
        <f>VLOOKUP($E165,'Master Food List'!master_food_list,21,FALSE)</f>
        <v>Backpacker's Pantry</v>
      </c>
      <c r="G165" s="208" t="str">
        <f>VLOOKUP($E165,'Master Food List'!master_food_list,22,FALSE)</f>
        <v>Backpacker's Pantry</v>
      </c>
      <c r="H165" s="208" t="str">
        <f>VLOOKUP($E165,'Master Food List'!master_food_list,4,FALSE)</f>
        <v>Pouch</v>
      </c>
    </row>
    <row r="166" spans="1:8" ht="51" x14ac:dyDescent="0.2">
      <c r="A166" s="208" t="s">
        <v>509</v>
      </c>
      <c r="B166" s="171">
        <v>23</v>
      </c>
      <c r="C166" s="188" t="s">
        <v>456</v>
      </c>
      <c r="D166" s="188" t="s">
        <v>457</v>
      </c>
      <c r="E166" s="205" t="s">
        <v>479</v>
      </c>
      <c r="F166" s="208" t="str">
        <f>VLOOKUP($E166,'Master Food List'!master_food_list,21,FALSE)</f>
        <v>Justin's</v>
      </c>
      <c r="G166" s="208" t="str">
        <f>VLOOKUP($E166,'Master Food List'!master_food_list,22,FALSE)</f>
        <v>Amazon</v>
      </c>
      <c r="H166" s="208" t="str">
        <f>VLOOKUP($E166,'Master Food List'!master_food_list,4,FALSE)</f>
        <v>Jar</v>
      </c>
    </row>
    <row r="167" spans="1:8" ht="51" x14ac:dyDescent="0.2">
      <c r="A167" s="208" t="s">
        <v>509</v>
      </c>
      <c r="B167" s="171">
        <v>23</v>
      </c>
      <c r="C167" s="188" t="s">
        <v>456</v>
      </c>
      <c r="D167" s="188" t="s">
        <v>455</v>
      </c>
      <c r="E167" s="205" t="s">
        <v>313</v>
      </c>
      <c r="F167" s="208" t="str">
        <f>VLOOKUP($E167,'Master Food List'!master_food_list,21,FALSE)</f>
        <v>Mountain House</v>
      </c>
      <c r="G167" s="208" t="str">
        <f>VLOOKUP($E167,'Master Food List'!master_food_list,22,FALSE)</f>
        <v>Amazon</v>
      </c>
      <c r="H167" s="208" t="str">
        <f>VLOOKUP($E167,'Master Food List'!master_food_list,4,FALSE)</f>
        <v>12-pack</v>
      </c>
    </row>
    <row r="168" spans="1:8" ht="51" x14ac:dyDescent="0.2">
      <c r="A168" s="208" t="s">
        <v>509</v>
      </c>
      <c r="B168" s="170">
        <v>24</v>
      </c>
      <c r="C168" s="168" t="s">
        <v>456</v>
      </c>
      <c r="D168" s="168" t="s">
        <v>462</v>
      </c>
      <c r="E168" s="193" t="s">
        <v>485</v>
      </c>
      <c r="F168" s="208" t="str">
        <f>VLOOKUP($E168,'Master Food List'!master_food_list,21,FALSE)</f>
        <v>Mountain House</v>
      </c>
      <c r="G168" s="208" t="str">
        <f>VLOOKUP($E168,'Master Food List'!master_food_list,22,FALSE)</f>
        <v>Amazon</v>
      </c>
      <c r="H168" s="208" t="str">
        <f>VLOOKUP($E168,'Master Food List'!master_food_list,4,FALSE)</f>
        <v>#10 Can*</v>
      </c>
    </row>
    <row r="169" spans="1:8" ht="51" x14ac:dyDescent="0.2">
      <c r="A169" s="208" t="s">
        <v>509</v>
      </c>
      <c r="B169" s="170">
        <v>24</v>
      </c>
      <c r="C169" s="168" t="s">
        <v>456</v>
      </c>
      <c r="D169" s="168" t="s">
        <v>461</v>
      </c>
      <c r="E169" s="193" t="s">
        <v>433</v>
      </c>
      <c r="F169" s="208" t="str">
        <f>VLOOKUP($E169,'Master Food List'!master_food_list,21,FALSE)</f>
        <v>Alpine Aire</v>
      </c>
      <c r="G169" s="208" t="str">
        <f>VLOOKUP($E169,'Master Food List'!master_food_list,22,FALSE)</f>
        <v>Alpine Aire</v>
      </c>
      <c r="H169" s="208" t="str">
        <f>VLOOKUP($E169,'Master Food List'!master_food_list,4,FALSE)</f>
        <v>Pouch</v>
      </c>
    </row>
    <row r="170" spans="1:8" ht="51" x14ac:dyDescent="0.2">
      <c r="A170" s="208" t="s">
        <v>509</v>
      </c>
      <c r="B170" s="170">
        <v>24</v>
      </c>
      <c r="C170" s="168" t="s">
        <v>456</v>
      </c>
      <c r="D170" s="168" t="s">
        <v>460</v>
      </c>
      <c r="E170" s="193"/>
      <c r="F170" s="208" t="e">
        <f>VLOOKUP($E170,'Master Food List'!master_food_list,21,FALSE)</f>
        <v>#N/A</v>
      </c>
      <c r="G170" s="208" t="e">
        <f>VLOOKUP($E170,'Master Food List'!master_food_list,22,FALSE)</f>
        <v>#N/A</v>
      </c>
      <c r="H170" s="208" t="e">
        <f>VLOOKUP($E170,'Master Food List'!master_food_list,4,FALSE)</f>
        <v>#N/A</v>
      </c>
    </row>
    <row r="171" spans="1:8" ht="51" x14ac:dyDescent="0.2">
      <c r="A171" s="208" t="s">
        <v>509</v>
      </c>
      <c r="B171" s="170">
        <v>24</v>
      </c>
      <c r="C171" s="168" t="s">
        <v>456</v>
      </c>
      <c r="D171" s="168" t="s">
        <v>459</v>
      </c>
      <c r="E171" s="193" t="s">
        <v>396</v>
      </c>
      <c r="F171" s="208" t="str">
        <f>VLOOKUP($E171,'Master Food List'!master_food_list,21,FALSE)</f>
        <v>Clif</v>
      </c>
      <c r="G171" s="208" t="str">
        <f>VLOOKUP($E171,'Master Food List'!master_food_list,22,FALSE)</f>
        <v>Acme</v>
      </c>
      <c r="H171" s="208" t="str">
        <f>VLOOKUP($E171,'Master Food List'!master_food_list,4,FALSE)</f>
        <v>Bar</v>
      </c>
    </row>
    <row r="172" spans="1:8" ht="51" x14ac:dyDescent="0.2">
      <c r="A172" s="208" t="s">
        <v>509</v>
      </c>
      <c r="B172" s="170">
        <v>24</v>
      </c>
      <c r="C172" s="168" t="s">
        <v>456</v>
      </c>
      <c r="D172" s="168" t="s">
        <v>458</v>
      </c>
      <c r="E172" s="193" t="s">
        <v>503</v>
      </c>
      <c r="F172" s="208" t="str">
        <f>VLOOKUP($E172,'Master Food List'!master_food_list,21,FALSE)</f>
        <v>Backpacker's Pantry</v>
      </c>
      <c r="G172" s="208" t="str">
        <f>VLOOKUP($E172,'Master Food List'!master_food_list,22,FALSE)</f>
        <v>Amazon</v>
      </c>
      <c r="H172" s="208" t="str">
        <f>VLOOKUP($E172,'Master Food List'!master_food_list,4,FALSE)</f>
        <v>Pouch</v>
      </c>
    </row>
    <row r="173" spans="1:8" ht="51" x14ac:dyDescent="0.2">
      <c r="A173" s="208" t="s">
        <v>509</v>
      </c>
      <c r="B173" s="170">
        <v>24</v>
      </c>
      <c r="C173" s="168" t="s">
        <v>456</v>
      </c>
      <c r="D173" s="168" t="s">
        <v>457</v>
      </c>
      <c r="E173" s="193" t="s">
        <v>479</v>
      </c>
      <c r="F173" s="208" t="str">
        <f>VLOOKUP($E173,'Master Food List'!master_food_list,21,FALSE)</f>
        <v>Justin's</v>
      </c>
      <c r="G173" s="208" t="str">
        <f>VLOOKUP($E173,'Master Food List'!master_food_list,22,FALSE)</f>
        <v>Amazon</v>
      </c>
      <c r="H173" s="208" t="str">
        <f>VLOOKUP($E173,'Master Food List'!master_food_list,4,FALSE)</f>
        <v>Jar</v>
      </c>
    </row>
    <row r="174" spans="1:8" ht="51" x14ac:dyDescent="0.2">
      <c r="A174" s="208" t="s">
        <v>509</v>
      </c>
      <c r="B174" s="170">
        <v>24</v>
      </c>
      <c r="C174" s="168" t="s">
        <v>456</v>
      </c>
      <c r="D174" s="168" t="s">
        <v>455</v>
      </c>
      <c r="E174" s="193" t="s">
        <v>484</v>
      </c>
      <c r="F174" s="208" t="str">
        <f>VLOOKUP($E174,'Master Food List'!master_food_list,21,FALSE)</f>
        <v>Backpacker's Pantry</v>
      </c>
      <c r="G174" s="208" t="str">
        <f>VLOOKUP($E174,'Master Food List'!master_food_list,22,FALSE)</f>
        <v>Backpacker's Pantry</v>
      </c>
      <c r="H174" s="208" t="str">
        <f>VLOOKUP($E174,'Master Food List'!master_food_list,4,FALSE)</f>
        <v>Pouch</v>
      </c>
    </row>
    <row r="175" spans="1:8" ht="51" x14ac:dyDescent="0.2">
      <c r="A175" s="208" t="s">
        <v>509</v>
      </c>
      <c r="B175" s="170">
        <v>25</v>
      </c>
      <c r="C175" s="168" t="s">
        <v>456</v>
      </c>
      <c r="D175" s="168" t="s">
        <v>462</v>
      </c>
      <c r="E175" s="193" t="s">
        <v>481</v>
      </c>
      <c r="F175" s="208" t="str">
        <f>VLOOKUP($E175,'Master Food List'!master_food_list,21,FALSE)</f>
        <v>Kellog's</v>
      </c>
      <c r="G175" s="208" t="str">
        <f>VLOOKUP($E175,'Master Food List'!master_food_list,22,FALSE)</f>
        <v>Acme</v>
      </c>
      <c r="H175" s="208" t="str">
        <f>VLOOKUP($E175,'Master Food List'!master_food_list,4,FALSE)</f>
        <v>pkg</v>
      </c>
    </row>
    <row r="176" spans="1:8" ht="51" x14ac:dyDescent="0.2">
      <c r="A176" s="208" t="s">
        <v>509</v>
      </c>
      <c r="B176" s="170">
        <v>25</v>
      </c>
      <c r="C176" s="168" t="s">
        <v>456</v>
      </c>
      <c r="D176" s="168" t="s">
        <v>461</v>
      </c>
      <c r="E176" s="193" t="s">
        <v>333</v>
      </c>
      <c r="F176" s="208" t="str">
        <f>VLOOKUP($E176,'Master Food List'!master_food_list,21,FALSE)</f>
        <v>Thrive Life</v>
      </c>
      <c r="G176" s="208" t="str">
        <f>VLOOKUP($E176,'Master Food List'!master_food_list,22,FALSE)</f>
        <v>Thrive Life</v>
      </c>
      <c r="H176" s="208" t="str">
        <f>VLOOKUP($E176,'Master Food List'!master_food_list,4,FALSE)</f>
        <v>Pouch</v>
      </c>
    </row>
    <row r="177" spans="1:8" ht="51" x14ac:dyDescent="0.2">
      <c r="A177" s="208" t="s">
        <v>509</v>
      </c>
      <c r="B177" s="170">
        <v>25</v>
      </c>
      <c r="C177" s="168" t="s">
        <v>456</v>
      </c>
      <c r="D177" s="168" t="s">
        <v>460</v>
      </c>
      <c r="E177" s="193"/>
      <c r="F177" s="208" t="e">
        <f>VLOOKUP($E177,'Master Food List'!master_food_list,21,FALSE)</f>
        <v>#N/A</v>
      </c>
      <c r="G177" s="208" t="e">
        <f>VLOOKUP($E177,'Master Food List'!master_food_list,22,FALSE)</f>
        <v>#N/A</v>
      </c>
      <c r="H177" s="208" t="e">
        <f>VLOOKUP($E177,'Master Food List'!master_food_list,4,FALSE)</f>
        <v>#N/A</v>
      </c>
    </row>
    <row r="178" spans="1:8" ht="51" x14ac:dyDescent="0.2">
      <c r="A178" s="208" t="s">
        <v>509</v>
      </c>
      <c r="B178" s="170">
        <v>25</v>
      </c>
      <c r="C178" s="168" t="s">
        <v>456</v>
      </c>
      <c r="D178" s="168" t="s">
        <v>459</v>
      </c>
      <c r="E178" s="193" t="s">
        <v>522</v>
      </c>
      <c r="F178" s="208" t="str">
        <f>VLOOKUP($E178,'Master Food List'!master_food_list,21,FALSE)</f>
        <v>Cheetos</v>
      </c>
      <c r="G178" s="208" t="str">
        <f>VLOOKUP($E178,'Master Food List'!master_food_list,22,FALSE)</f>
        <v>Acme</v>
      </c>
      <c r="H178" s="208" t="str">
        <f>VLOOKUP($E178,'Master Food List'!master_food_list,4,FALSE)</f>
        <v>pkg</v>
      </c>
    </row>
    <row r="179" spans="1:8" ht="51" x14ac:dyDescent="0.2">
      <c r="A179" s="208" t="s">
        <v>509</v>
      </c>
      <c r="B179" s="170">
        <v>25</v>
      </c>
      <c r="C179" s="168" t="s">
        <v>456</v>
      </c>
      <c r="D179" s="168" t="s">
        <v>458</v>
      </c>
      <c r="E179" s="193" t="s">
        <v>294</v>
      </c>
      <c r="F179" s="208" t="str">
        <f>VLOOKUP($E179,'Master Food List'!master_food_list,21,FALSE)</f>
        <v>Mountain House</v>
      </c>
      <c r="G179" s="208" t="str">
        <f>VLOOKUP($E179,'Master Food List'!master_food_list,22,FALSE)</f>
        <v>Amazon</v>
      </c>
      <c r="H179" s="208" t="str">
        <f>VLOOKUP($E179,'Master Food List'!master_food_list,4,FALSE)</f>
        <v>#10 Can*</v>
      </c>
    </row>
    <row r="180" spans="1:8" ht="51" x14ac:dyDescent="0.2">
      <c r="A180" s="208" t="s">
        <v>509</v>
      </c>
      <c r="B180" s="170">
        <v>25</v>
      </c>
      <c r="C180" s="168" t="s">
        <v>456</v>
      </c>
      <c r="D180" s="168" t="s">
        <v>457</v>
      </c>
      <c r="E180" s="193" t="s">
        <v>479</v>
      </c>
      <c r="F180" s="208" t="str">
        <f>VLOOKUP($E180,'Master Food List'!master_food_list,21,FALSE)</f>
        <v>Justin's</v>
      </c>
      <c r="G180" s="208" t="str">
        <f>VLOOKUP($E180,'Master Food List'!master_food_list,22,FALSE)</f>
        <v>Amazon</v>
      </c>
      <c r="H180" s="208" t="str">
        <f>VLOOKUP($E180,'Master Food List'!master_food_list,4,FALSE)</f>
        <v>Jar</v>
      </c>
    </row>
    <row r="181" spans="1:8" ht="51" x14ac:dyDescent="0.2">
      <c r="A181" s="208" t="s">
        <v>509</v>
      </c>
      <c r="B181" s="170">
        <v>25</v>
      </c>
      <c r="C181" s="168" t="s">
        <v>456</v>
      </c>
      <c r="D181" s="168" t="s">
        <v>455</v>
      </c>
      <c r="E181" s="193" t="s">
        <v>505</v>
      </c>
      <c r="F181" s="208" t="str">
        <f>VLOOKUP($E181,'Master Food List'!master_food_list,21,FALSE)</f>
        <v>Backpacker's Pantry</v>
      </c>
      <c r="G181" s="208" t="str">
        <f>VLOOKUP($E181,'Master Food List'!master_food_list,22,FALSE)</f>
        <v>Backpacker's Pantry</v>
      </c>
      <c r="H181" s="208" t="str">
        <f>VLOOKUP($E181,'Master Food List'!master_food_list,4,FALSE)</f>
        <v>Pouch</v>
      </c>
    </row>
    <row r="182" spans="1:8" ht="51" x14ac:dyDescent="0.2">
      <c r="A182" s="208" t="s">
        <v>509</v>
      </c>
      <c r="B182" s="170">
        <v>26</v>
      </c>
      <c r="C182" s="168" t="s">
        <v>456</v>
      </c>
      <c r="D182" s="168" t="s">
        <v>462</v>
      </c>
      <c r="E182" s="193" t="s">
        <v>480</v>
      </c>
      <c r="F182" s="208" t="str">
        <f>VLOOKUP($E182,'Master Food List'!master_food_list,21,FALSE)</f>
        <v>Backpacker's Pantry</v>
      </c>
      <c r="G182" s="208" t="str">
        <f>VLOOKUP($E182,'Master Food List'!master_food_list,22,FALSE)</f>
        <v>Backpacker's Pantry</v>
      </c>
      <c r="H182" s="208" t="str">
        <f>VLOOKUP($E182,'Master Food List'!master_food_list,4,FALSE)</f>
        <v>Pouch</v>
      </c>
    </row>
    <row r="183" spans="1:8" ht="51" x14ac:dyDescent="0.2">
      <c r="A183" s="208" t="s">
        <v>509</v>
      </c>
      <c r="B183" s="170">
        <v>26</v>
      </c>
      <c r="C183" s="168" t="s">
        <v>456</v>
      </c>
      <c r="D183" s="168" t="s">
        <v>461</v>
      </c>
      <c r="E183" s="193" t="s">
        <v>414</v>
      </c>
      <c r="F183" s="208" t="str">
        <f>VLOOKUP($E183,'Master Food List'!master_food_list,21,FALSE)</f>
        <v>Snickers</v>
      </c>
      <c r="G183" s="208" t="str">
        <f>VLOOKUP($E183,'Master Food List'!master_food_list,22,FALSE)</f>
        <v>Acme</v>
      </c>
      <c r="H183" s="208" t="str">
        <f>VLOOKUP($E183,'Master Food List'!master_food_list,4,FALSE)</f>
        <v>Bar</v>
      </c>
    </row>
    <row r="184" spans="1:8" ht="51" x14ac:dyDescent="0.2">
      <c r="A184" s="208" t="s">
        <v>509</v>
      </c>
      <c r="B184" s="170">
        <v>26</v>
      </c>
      <c r="C184" s="168" t="s">
        <v>456</v>
      </c>
      <c r="D184" s="168" t="s">
        <v>460</v>
      </c>
      <c r="E184" s="193"/>
      <c r="F184" s="208" t="e">
        <f>VLOOKUP($E184,'Master Food List'!master_food_list,21,FALSE)</f>
        <v>#N/A</v>
      </c>
      <c r="G184" s="208" t="e">
        <f>VLOOKUP($E184,'Master Food List'!master_food_list,22,FALSE)</f>
        <v>#N/A</v>
      </c>
      <c r="H184" s="208" t="e">
        <f>VLOOKUP($E184,'Master Food List'!master_food_list,4,FALSE)</f>
        <v>#N/A</v>
      </c>
    </row>
    <row r="185" spans="1:8" ht="51" x14ac:dyDescent="0.2">
      <c r="A185" s="208" t="s">
        <v>509</v>
      </c>
      <c r="B185" s="170">
        <v>26</v>
      </c>
      <c r="C185" s="168" t="s">
        <v>456</v>
      </c>
      <c r="D185" s="168" t="s">
        <v>459</v>
      </c>
      <c r="E185" s="193" t="s">
        <v>327</v>
      </c>
      <c r="F185" s="208" t="str">
        <f>VLOOKUP($E185,'Master Food List'!master_food_list,21,FALSE)</f>
        <v>Epic</v>
      </c>
      <c r="G185" s="208" t="str">
        <f>VLOOKUP($E185,'Master Food List'!master_food_list,22,FALSE)</f>
        <v>Amazon</v>
      </c>
      <c r="H185" s="208" t="str">
        <f>VLOOKUP($E185,'Master Food List'!master_food_list,4,FALSE)</f>
        <v>Pack of 12</v>
      </c>
    </row>
    <row r="186" spans="1:8" ht="51" x14ac:dyDescent="0.2">
      <c r="A186" s="208" t="s">
        <v>509</v>
      </c>
      <c r="B186" s="170">
        <v>26</v>
      </c>
      <c r="C186" s="168" t="s">
        <v>456</v>
      </c>
      <c r="D186" s="168" t="s">
        <v>458</v>
      </c>
      <c r="E186" s="193" t="s">
        <v>449</v>
      </c>
      <c r="F186" s="208" t="str">
        <f>VLOOKUP($E186,'Master Food List'!master_food_list,21,FALSE)</f>
        <v>Alpine Aire</v>
      </c>
      <c r="G186" s="208" t="str">
        <f>VLOOKUP($E186,'Master Food List'!master_food_list,22,FALSE)</f>
        <v>Alpine Aire</v>
      </c>
      <c r="H186" s="208" t="str">
        <f>VLOOKUP($E186,'Master Food List'!master_food_list,4,FALSE)</f>
        <v>Pouch</v>
      </c>
    </row>
    <row r="187" spans="1:8" ht="51" x14ac:dyDescent="0.2">
      <c r="A187" s="208" t="s">
        <v>509</v>
      </c>
      <c r="B187" s="170">
        <v>26</v>
      </c>
      <c r="C187" s="168" t="s">
        <v>456</v>
      </c>
      <c r="D187" s="168" t="s">
        <v>457</v>
      </c>
      <c r="E187" s="193" t="s">
        <v>479</v>
      </c>
      <c r="F187" s="208" t="str">
        <f>VLOOKUP($E187,'Master Food List'!master_food_list,21,FALSE)</f>
        <v>Justin's</v>
      </c>
      <c r="G187" s="208" t="str">
        <f>VLOOKUP($E187,'Master Food List'!master_food_list,22,FALSE)</f>
        <v>Amazon</v>
      </c>
      <c r="H187" s="208" t="str">
        <f>VLOOKUP($E187,'Master Food List'!master_food_list,4,FALSE)</f>
        <v>Jar</v>
      </c>
    </row>
    <row r="188" spans="1:8" ht="51" x14ac:dyDescent="0.2">
      <c r="A188" s="208" t="s">
        <v>509</v>
      </c>
      <c r="B188" s="170">
        <v>26</v>
      </c>
      <c r="C188" s="168" t="s">
        <v>456</v>
      </c>
      <c r="D188" s="168" t="s">
        <v>455</v>
      </c>
      <c r="E188" s="193" t="s">
        <v>478</v>
      </c>
      <c r="F188" s="208" t="str">
        <f>VLOOKUP($E188,'Master Food List'!master_food_list,21,FALSE)</f>
        <v>Mountain House</v>
      </c>
      <c r="G188" s="208" t="str">
        <f>VLOOKUP($E188,'Master Food List'!master_food_list,22,FALSE)</f>
        <v>Amazon</v>
      </c>
      <c r="H188" s="208" t="str">
        <f>VLOOKUP($E188,'Master Food List'!master_food_list,4,FALSE)</f>
        <v>6-Pack</v>
      </c>
    </row>
    <row r="189" spans="1:8" ht="51" x14ac:dyDescent="0.2">
      <c r="A189" s="208" t="s">
        <v>509</v>
      </c>
      <c r="B189" s="170">
        <v>27</v>
      </c>
      <c r="C189" s="168" t="s">
        <v>456</v>
      </c>
      <c r="D189" s="168" t="s">
        <v>462</v>
      </c>
      <c r="E189" s="193" t="s">
        <v>480</v>
      </c>
      <c r="F189" s="208" t="str">
        <f>VLOOKUP($E189,'Master Food List'!master_food_list,21,FALSE)</f>
        <v>Backpacker's Pantry</v>
      </c>
      <c r="G189" s="208" t="str">
        <f>VLOOKUP($E189,'Master Food List'!master_food_list,22,FALSE)</f>
        <v>Backpacker's Pantry</v>
      </c>
      <c r="H189" s="208" t="str">
        <f>VLOOKUP($E189,'Master Food List'!master_food_list,4,FALSE)</f>
        <v>Pouch</v>
      </c>
    </row>
    <row r="190" spans="1:8" ht="51" x14ac:dyDescent="0.2">
      <c r="A190" s="208" t="s">
        <v>509</v>
      </c>
      <c r="B190" s="170">
        <v>27</v>
      </c>
      <c r="C190" s="168" t="s">
        <v>456</v>
      </c>
      <c r="D190" s="168" t="s">
        <v>461</v>
      </c>
      <c r="E190" s="193" t="s">
        <v>430</v>
      </c>
      <c r="F190" s="208" t="str">
        <f>VLOOKUP($E190,'Master Food List'!master_food_list,21,FALSE)</f>
        <v>Alpine Aire</v>
      </c>
      <c r="G190" s="208" t="str">
        <f>VLOOKUP($E190,'Master Food List'!master_food_list,22,FALSE)</f>
        <v>Alpine Aire</v>
      </c>
      <c r="H190" s="208" t="str">
        <f>VLOOKUP($E190,'Master Food List'!master_food_list,4,FALSE)</f>
        <v>Pouch</v>
      </c>
    </row>
    <row r="191" spans="1:8" ht="51" x14ac:dyDescent="0.2">
      <c r="A191" s="208" t="s">
        <v>509</v>
      </c>
      <c r="B191" s="170">
        <v>27</v>
      </c>
      <c r="C191" s="168" t="s">
        <v>456</v>
      </c>
      <c r="D191" s="168" t="s">
        <v>460</v>
      </c>
      <c r="E191" s="193"/>
      <c r="F191" s="208" t="e">
        <f>VLOOKUP($E191,'Master Food List'!master_food_list,21,FALSE)</f>
        <v>#N/A</v>
      </c>
      <c r="G191" s="208" t="e">
        <f>VLOOKUP($E191,'Master Food List'!master_food_list,22,FALSE)</f>
        <v>#N/A</v>
      </c>
      <c r="H191" s="208" t="e">
        <f>VLOOKUP($E191,'Master Food List'!master_food_list,4,FALSE)</f>
        <v>#N/A</v>
      </c>
    </row>
    <row r="192" spans="1:8" ht="51" x14ac:dyDescent="0.2">
      <c r="A192" s="208" t="s">
        <v>509</v>
      </c>
      <c r="B192" s="170">
        <v>27</v>
      </c>
      <c r="C192" s="168" t="s">
        <v>456</v>
      </c>
      <c r="D192" s="168" t="s">
        <v>459</v>
      </c>
      <c r="E192" s="193" t="s">
        <v>325</v>
      </c>
      <c r="F192" s="208" t="str">
        <f>VLOOKUP($E192,'Master Food List'!master_food_list,21,FALSE)</f>
        <v>Epic</v>
      </c>
      <c r="G192" s="208" t="str">
        <f>VLOOKUP($E192,'Master Food List'!master_food_list,22,FALSE)</f>
        <v>Amazon</v>
      </c>
      <c r="H192" s="208" t="str">
        <f>VLOOKUP($E192,'Master Food List'!master_food_list,4,FALSE)</f>
        <v>Pack of 12</v>
      </c>
    </row>
    <row r="193" spans="1:8" ht="51" x14ac:dyDescent="0.2">
      <c r="A193" s="208" t="s">
        <v>509</v>
      </c>
      <c r="B193" s="170">
        <v>27</v>
      </c>
      <c r="C193" s="168" t="s">
        <v>456</v>
      </c>
      <c r="D193" s="168" t="s">
        <v>458</v>
      </c>
      <c r="E193" s="193" t="s">
        <v>445</v>
      </c>
      <c r="F193" s="208" t="str">
        <f>VLOOKUP($E193,'Master Food List'!master_food_list,21,FALSE)</f>
        <v>Alpine Aire</v>
      </c>
      <c r="G193" s="208" t="str">
        <f>VLOOKUP($E193,'Master Food List'!master_food_list,22,FALSE)</f>
        <v>Alpine Aire</v>
      </c>
      <c r="H193" s="208" t="str">
        <f>VLOOKUP($E193,'Master Food List'!master_food_list,4,FALSE)</f>
        <v>Pouch</v>
      </c>
    </row>
    <row r="194" spans="1:8" ht="51" x14ac:dyDescent="0.2">
      <c r="A194" s="208" t="s">
        <v>509</v>
      </c>
      <c r="B194" s="170">
        <v>27</v>
      </c>
      <c r="C194" s="168" t="s">
        <v>456</v>
      </c>
      <c r="D194" s="168" t="s">
        <v>457</v>
      </c>
      <c r="E194" s="193" t="s">
        <v>479</v>
      </c>
      <c r="F194" s="208" t="str">
        <f>VLOOKUP($E194,'Master Food List'!master_food_list,21,FALSE)</f>
        <v>Justin's</v>
      </c>
      <c r="G194" s="208" t="str">
        <f>VLOOKUP($E194,'Master Food List'!master_food_list,22,FALSE)</f>
        <v>Amazon</v>
      </c>
      <c r="H194" s="208" t="str">
        <f>VLOOKUP($E194,'Master Food List'!master_food_list,4,FALSE)</f>
        <v>Jar</v>
      </c>
    </row>
    <row r="195" spans="1:8" ht="51" x14ac:dyDescent="0.2">
      <c r="A195" s="208" t="s">
        <v>509</v>
      </c>
      <c r="B195" s="170">
        <v>27</v>
      </c>
      <c r="C195" s="168" t="s">
        <v>456</v>
      </c>
      <c r="D195" s="168" t="s">
        <v>455</v>
      </c>
      <c r="E195" s="193" t="s">
        <v>483</v>
      </c>
      <c r="F195" s="208" t="str">
        <f>VLOOKUP($E195,'Master Food List'!master_food_list,21,FALSE)</f>
        <v>M &amp; M</v>
      </c>
      <c r="G195" s="208" t="str">
        <f>VLOOKUP($E195,'Master Food List'!master_food_list,22,FALSE)</f>
        <v>Acme</v>
      </c>
      <c r="H195" s="208" t="str">
        <f>VLOOKUP($E195,'Master Food List'!master_food_list,4,FALSE)</f>
        <v>2lb 10oz Bag</v>
      </c>
    </row>
    <row r="196" spans="1:8" ht="51" x14ac:dyDescent="0.2">
      <c r="A196" s="208" t="s">
        <v>509</v>
      </c>
      <c r="B196" s="170">
        <v>28</v>
      </c>
      <c r="C196" s="168" t="s">
        <v>456</v>
      </c>
      <c r="D196" s="168" t="s">
        <v>462</v>
      </c>
      <c r="E196" s="193" t="s">
        <v>485</v>
      </c>
      <c r="F196" s="208" t="str">
        <f>VLOOKUP($E196,'Master Food List'!master_food_list,21,FALSE)</f>
        <v>Mountain House</v>
      </c>
      <c r="G196" s="208" t="str">
        <f>VLOOKUP($E196,'Master Food List'!master_food_list,22,FALSE)</f>
        <v>Amazon</v>
      </c>
      <c r="H196" s="208" t="str">
        <f>VLOOKUP($E196,'Master Food List'!master_food_list,4,FALSE)</f>
        <v>#10 Can*</v>
      </c>
    </row>
    <row r="197" spans="1:8" ht="51" x14ac:dyDescent="0.2">
      <c r="A197" s="208" t="s">
        <v>509</v>
      </c>
      <c r="B197" s="170">
        <v>28</v>
      </c>
      <c r="C197" s="168" t="s">
        <v>456</v>
      </c>
      <c r="D197" s="168" t="s">
        <v>461</v>
      </c>
      <c r="E197" s="193" t="s">
        <v>354</v>
      </c>
      <c r="F197" s="208" t="str">
        <f>VLOOKUP($E197,'Master Food List'!master_food_list,21,FALSE)</f>
        <v>Thrive Life</v>
      </c>
      <c r="G197" s="208" t="str">
        <f>VLOOKUP($E197,'Master Food List'!master_food_list,22,FALSE)</f>
        <v>Thrive Life</v>
      </c>
      <c r="H197" s="208" t="str">
        <f>VLOOKUP($E197,'Master Food List'!master_food_list,4,FALSE)</f>
        <v>Pouch</v>
      </c>
    </row>
    <row r="198" spans="1:8" ht="51" x14ac:dyDescent="0.2">
      <c r="A198" s="208" t="s">
        <v>509</v>
      </c>
      <c r="B198" s="170">
        <v>28</v>
      </c>
      <c r="C198" s="168" t="s">
        <v>456</v>
      </c>
      <c r="D198" s="168" t="s">
        <v>460</v>
      </c>
      <c r="E198" s="193"/>
      <c r="F198" s="208" t="e">
        <f>VLOOKUP($E198,'Master Food List'!master_food_list,21,FALSE)</f>
        <v>#N/A</v>
      </c>
      <c r="G198" s="208" t="e">
        <f>VLOOKUP($E198,'Master Food List'!master_food_list,22,FALSE)</f>
        <v>#N/A</v>
      </c>
      <c r="H198" s="208" t="e">
        <f>VLOOKUP($E198,'Master Food List'!master_food_list,4,FALSE)</f>
        <v>#N/A</v>
      </c>
    </row>
    <row r="199" spans="1:8" ht="51" x14ac:dyDescent="0.2">
      <c r="A199" s="208" t="s">
        <v>509</v>
      </c>
      <c r="B199" s="170">
        <v>28</v>
      </c>
      <c r="C199" s="168" t="s">
        <v>456</v>
      </c>
      <c r="D199" s="168" t="s">
        <v>459</v>
      </c>
      <c r="E199" s="193" t="s">
        <v>522</v>
      </c>
      <c r="F199" s="208" t="str">
        <f>VLOOKUP($E199,'Master Food List'!master_food_list,21,FALSE)</f>
        <v>Cheetos</v>
      </c>
      <c r="G199" s="208" t="str">
        <f>VLOOKUP($E199,'Master Food List'!master_food_list,22,FALSE)</f>
        <v>Acme</v>
      </c>
      <c r="H199" s="208" t="str">
        <f>VLOOKUP($E199,'Master Food List'!master_food_list,4,FALSE)</f>
        <v>pkg</v>
      </c>
    </row>
    <row r="200" spans="1:8" ht="51" x14ac:dyDescent="0.2">
      <c r="A200" s="208" t="s">
        <v>509</v>
      </c>
      <c r="B200" s="170">
        <v>28</v>
      </c>
      <c r="C200" s="168" t="s">
        <v>456</v>
      </c>
      <c r="D200" s="168" t="s">
        <v>458</v>
      </c>
      <c r="E200" s="193" t="s">
        <v>493</v>
      </c>
      <c r="F200" s="208" t="str">
        <f>VLOOKUP($E200,'Master Food List'!master_food_list,21,FALSE)</f>
        <v>Backpacker's Pantry</v>
      </c>
      <c r="G200" s="208" t="str">
        <f>VLOOKUP($E200,'Master Food List'!master_food_list,22,FALSE)</f>
        <v>Backpacker's Pantry</v>
      </c>
      <c r="H200" s="208" t="str">
        <f>VLOOKUP($E200,'Master Food List'!master_food_list,4,FALSE)</f>
        <v>Pouch</v>
      </c>
    </row>
    <row r="201" spans="1:8" ht="51" x14ac:dyDescent="0.2">
      <c r="A201" s="208" t="s">
        <v>509</v>
      </c>
      <c r="B201" s="170">
        <v>28</v>
      </c>
      <c r="C201" s="168" t="s">
        <v>456</v>
      </c>
      <c r="D201" s="168" t="s">
        <v>457</v>
      </c>
      <c r="E201" s="193" t="s">
        <v>479</v>
      </c>
      <c r="F201" s="208" t="str">
        <f>VLOOKUP($E201,'Master Food List'!master_food_list,21,FALSE)</f>
        <v>Justin's</v>
      </c>
      <c r="G201" s="208" t="str">
        <f>VLOOKUP($E201,'Master Food List'!master_food_list,22,FALSE)</f>
        <v>Amazon</v>
      </c>
      <c r="H201" s="208" t="str">
        <f>VLOOKUP($E201,'Master Food List'!master_food_list,4,FALSE)</f>
        <v>Jar</v>
      </c>
    </row>
    <row r="202" spans="1:8" ht="51" x14ac:dyDescent="0.2">
      <c r="A202" s="208" t="s">
        <v>509</v>
      </c>
      <c r="B202" s="170">
        <v>28</v>
      </c>
      <c r="C202" s="168" t="s">
        <v>456</v>
      </c>
      <c r="D202" s="168" t="s">
        <v>455</v>
      </c>
      <c r="E202" s="193" t="s">
        <v>482</v>
      </c>
      <c r="F202" s="208" t="str">
        <f>VLOOKUP($E202,'Master Food List'!master_food_list,21,FALSE)</f>
        <v>Swiss Miss</v>
      </c>
      <c r="G202" s="208" t="str">
        <f>VLOOKUP($E202,'Master Food List'!master_food_list,22,FALSE)</f>
        <v>Amazon</v>
      </c>
      <c r="H202" s="208" t="str">
        <f>VLOOKUP($E202,'Master Food List'!master_food_list,4,FALSE)</f>
        <v>Pack of 3 boxes</v>
      </c>
    </row>
    <row r="203" spans="1:8" ht="51" x14ac:dyDescent="0.2">
      <c r="A203" s="208" t="s">
        <v>509</v>
      </c>
      <c r="B203" s="170">
        <v>29</v>
      </c>
      <c r="C203" s="168" t="s">
        <v>456</v>
      </c>
      <c r="D203" s="168" t="s">
        <v>462</v>
      </c>
      <c r="E203" s="193" t="s">
        <v>481</v>
      </c>
      <c r="F203" s="208" t="str">
        <f>VLOOKUP($E203,'Master Food List'!master_food_list,21,FALSE)</f>
        <v>Kellog's</v>
      </c>
      <c r="G203" s="208" t="str">
        <f>VLOOKUP($E203,'Master Food List'!master_food_list,22,FALSE)</f>
        <v>Acme</v>
      </c>
      <c r="H203" s="208" t="str">
        <f>VLOOKUP($E203,'Master Food List'!master_food_list,4,FALSE)</f>
        <v>pkg</v>
      </c>
    </row>
    <row r="204" spans="1:8" ht="51" x14ac:dyDescent="0.2">
      <c r="A204" s="208" t="s">
        <v>509</v>
      </c>
      <c r="B204" s="170">
        <v>29</v>
      </c>
      <c r="C204" s="168" t="s">
        <v>456</v>
      </c>
      <c r="D204" s="168" t="s">
        <v>461</v>
      </c>
      <c r="E204" s="193" t="s">
        <v>433</v>
      </c>
      <c r="F204" s="208" t="str">
        <f>VLOOKUP($E204,'Master Food List'!master_food_list,21,FALSE)</f>
        <v>Alpine Aire</v>
      </c>
      <c r="G204" s="208" t="str">
        <f>VLOOKUP($E204,'Master Food List'!master_food_list,22,FALSE)</f>
        <v>Alpine Aire</v>
      </c>
      <c r="H204" s="208" t="str">
        <f>VLOOKUP($E204,'Master Food List'!master_food_list,4,FALSE)</f>
        <v>Pouch</v>
      </c>
    </row>
    <row r="205" spans="1:8" ht="51" x14ac:dyDescent="0.2">
      <c r="A205" s="208" t="s">
        <v>509</v>
      </c>
      <c r="B205" s="170">
        <v>29</v>
      </c>
      <c r="C205" s="168" t="s">
        <v>456</v>
      </c>
      <c r="D205" s="168" t="s">
        <v>460</v>
      </c>
      <c r="E205" s="193"/>
      <c r="F205" s="208" t="e">
        <f>VLOOKUP($E205,'Master Food List'!master_food_list,21,FALSE)</f>
        <v>#N/A</v>
      </c>
      <c r="G205" s="208" t="e">
        <f>VLOOKUP($E205,'Master Food List'!master_food_list,22,FALSE)</f>
        <v>#N/A</v>
      </c>
      <c r="H205" s="208" t="e">
        <f>VLOOKUP($E205,'Master Food List'!master_food_list,4,FALSE)</f>
        <v>#N/A</v>
      </c>
    </row>
    <row r="206" spans="1:8" ht="51" x14ac:dyDescent="0.2">
      <c r="A206" s="208" t="s">
        <v>509</v>
      </c>
      <c r="B206" s="170">
        <v>29</v>
      </c>
      <c r="C206" s="168" t="s">
        <v>456</v>
      </c>
      <c r="D206" s="168" t="s">
        <v>459</v>
      </c>
      <c r="E206" s="193" t="s">
        <v>490</v>
      </c>
      <c r="F206" s="208" t="str">
        <f>VLOOKUP($E206,'Master Food List'!master_food_list,21,FALSE)</f>
        <v>Krave</v>
      </c>
      <c r="G206" s="208" t="str">
        <f>VLOOKUP($E206,'Master Food List'!master_food_list,22,FALSE)</f>
        <v>Amazon</v>
      </c>
      <c r="H206" s="208" t="str">
        <f>VLOOKUP($E206,'Master Food List'!master_food_list,4,FALSE)</f>
        <v>Pack of 8</v>
      </c>
    </row>
    <row r="207" spans="1:8" ht="51" x14ac:dyDescent="0.2">
      <c r="A207" s="208" t="s">
        <v>509</v>
      </c>
      <c r="B207" s="170">
        <v>29</v>
      </c>
      <c r="C207" s="168" t="s">
        <v>456</v>
      </c>
      <c r="D207" s="168" t="s">
        <v>458</v>
      </c>
      <c r="E207" s="193" t="s">
        <v>504</v>
      </c>
      <c r="F207" s="208" t="str">
        <f>VLOOKUP($E207,'Master Food List'!master_food_list,21,FALSE)</f>
        <v>Backpacker's Pantry</v>
      </c>
      <c r="G207" s="208" t="str">
        <f>VLOOKUP($E207,'Master Food List'!master_food_list,22,FALSE)</f>
        <v>Backpacker's Pantry</v>
      </c>
      <c r="H207" s="208" t="str">
        <f>VLOOKUP($E207,'Master Food List'!master_food_list,4,FALSE)</f>
        <v>Pouch</v>
      </c>
    </row>
    <row r="208" spans="1:8" ht="51" x14ac:dyDescent="0.2">
      <c r="A208" s="208" t="s">
        <v>509</v>
      </c>
      <c r="B208" s="170">
        <v>29</v>
      </c>
      <c r="C208" s="168" t="s">
        <v>456</v>
      </c>
      <c r="D208" s="168" t="s">
        <v>457</v>
      </c>
      <c r="E208" s="193" t="s">
        <v>479</v>
      </c>
      <c r="F208" s="208" t="str">
        <f>VLOOKUP($E208,'Master Food List'!master_food_list,21,FALSE)</f>
        <v>Justin's</v>
      </c>
      <c r="G208" s="208" t="str">
        <f>VLOOKUP($E208,'Master Food List'!master_food_list,22,FALSE)</f>
        <v>Amazon</v>
      </c>
      <c r="H208" s="208" t="str">
        <f>VLOOKUP($E208,'Master Food List'!master_food_list,4,FALSE)</f>
        <v>Jar</v>
      </c>
    </row>
    <row r="209" spans="1:8" ht="51" x14ac:dyDescent="0.2">
      <c r="A209" s="208" t="s">
        <v>509</v>
      </c>
      <c r="B209" s="170">
        <v>29</v>
      </c>
      <c r="C209" s="168" t="s">
        <v>456</v>
      </c>
      <c r="D209" s="168" t="s">
        <v>455</v>
      </c>
      <c r="E209" s="193" t="s">
        <v>484</v>
      </c>
      <c r="F209" s="208" t="str">
        <f>VLOOKUP($E209,'Master Food List'!master_food_list,21,FALSE)</f>
        <v>Backpacker's Pantry</v>
      </c>
      <c r="G209" s="208" t="str">
        <f>VLOOKUP($E209,'Master Food List'!master_food_list,22,FALSE)</f>
        <v>Backpacker's Pantry</v>
      </c>
      <c r="H209" s="208" t="str">
        <f>VLOOKUP($E209,'Master Food List'!master_food_list,4,FALSE)</f>
        <v>Pouch</v>
      </c>
    </row>
    <row r="210" spans="1:8" ht="34" x14ac:dyDescent="0.2">
      <c r="A210" s="208" t="s">
        <v>510</v>
      </c>
      <c r="B210" s="163">
        <v>0</v>
      </c>
      <c r="C210" s="164" t="s">
        <v>463</v>
      </c>
      <c r="D210" s="164" t="s">
        <v>461</v>
      </c>
      <c r="E210" s="204" t="s">
        <v>495</v>
      </c>
      <c r="F210" s="208" t="str">
        <f>VLOOKUP($E210,'Master Food List'!master_food_list,21,FALSE)</f>
        <v>Starbucks &amp; Hoosier Hill Farm</v>
      </c>
      <c r="G210" s="208" t="str">
        <f>VLOOKUP($E210,'Master Food List'!master_food_list,22,FALSE)</f>
        <v>Amazon</v>
      </c>
      <c r="H210" s="208">
        <f>VLOOKUP($E210,'Master Food List'!master_food_list,4,FALSE)</f>
        <v>0</v>
      </c>
    </row>
    <row r="211" spans="1:8" ht="17" x14ac:dyDescent="0.2">
      <c r="A211" s="208" t="s">
        <v>510</v>
      </c>
      <c r="B211" s="163">
        <v>0</v>
      </c>
      <c r="C211" s="164" t="s">
        <v>463</v>
      </c>
      <c r="D211" s="164" t="s">
        <v>460</v>
      </c>
      <c r="E211" s="203" t="s">
        <v>427</v>
      </c>
      <c r="F211" s="208" t="str">
        <f>VLOOKUP($E211,'Master Food List'!master_food_list,21,FALSE)</f>
        <v>Nut Harvest</v>
      </c>
      <c r="G211" s="208" t="str">
        <f>VLOOKUP($E211,'Master Food List'!master_food_list,22,FALSE)</f>
        <v>Amazon</v>
      </c>
      <c r="H211" s="208" t="str">
        <f>VLOOKUP($E211,'Master Food List'!master_food_list,4,FALSE)</f>
        <v>Jar</v>
      </c>
    </row>
    <row r="212" spans="1:8" ht="34" x14ac:dyDescent="0.2">
      <c r="A212" s="208" t="s">
        <v>510</v>
      </c>
      <c r="B212" s="163">
        <v>0</v>
      </c>
      <c r="C212" s="164" t="s">
        <v>463</v>
      </c>
      <c r="D212" s="164" t="s">
        <v>459</v>
      </c>
      <c r="E212" s="203" t="s">
        <v>433</v>
      </c>
      <c r="F212" s="208" t="str">
        <f>VLOOKUP($E212,'Master Food List'!master_food_list,21,FALSE)</f>
        <v>Alpine Aire</v>
      </c>
      <c r="G212" s="208" t="str">
        <f>VLOOKUP($E212,'Master Food List'!master_food_list,22,FALSE)</f>
        <v>Alpine Aire</v>
      </c>
      <c r="H212" s="208" t="str">
        <f>VLOOKUP($E212,'Master Food List'!master_food_list,4,FALSE)</f>
        <v>Pouch</v>
      </c>
    </row>
    <row r="213" spans="1:8" ht="17" x14ac:dyDescent="0.2">
      <c r="A213" s="208" t="s">
        <v>510</v>
      </c>
      <c r="B213" s="163">
        <v>0</v>
      </c>
      <c r="C213" s="164" t="s">
        <v>463</v>
      </c>
      <c r="D213" s="164" t="s">
        <v>458</v>
      </c>
      <c r="E213" s="203" t="s">
        <v>439</v>
      </c>
      <c r="F213" s="208" t="str">
        <f>VLOOKUP($E213,'Master Food List'!master_food_list,21,FALSE)</f>
        <v>Alpine Aire</v>
      </c>
      <c r="G213" s="208" t="str">
        <f>VLOOKUP($E213,'Master Food List'!master_food_list,22,FALSE)</f>
        <v>Alpine Aire</v>
      </c>
      <c r="H213" s="208" t="str">
        <f>VLOOKUP($E213,'Master Food List'!master_food_list,4,FALSE)</f>
        <v>Pouch</v>
      </c>
    </row>
    <row r="214" spans="1:8" ht="17" x14ac:dyDescent="0.2">
      <c r="A214" s="208" t="s">
        <v>510</v>
      </c>
      <c r="B214" s="171">
        <v>1</v>
      </c>
      <c r="C214" s="188" t="s">
        <v>463</v>
      </c>
      <c r="D214" s="188" t="s">
        <v>462</v>
      </c>
      <c r="E214" s="205" t="s">
        <v>480</v>
      </c>
      <c r="F214" s="208" t="str">
        <f>VLOOKUP($E214,'Master Food List'!master_food_list,21,FALSE)</f>
        <v>Backpacker's Pantry</v>
      </c>
      <c r="G214" s="208" t="str">
        <f>VLOOKUP($E214,'Master Food List'!master_food_list,22,FALSE)</f>
        <v>Backpacker's Pantry</v>
      </c>
      <c r="H214" s="208" t="str">
        <f>VLOOKUP($E214,'Master Food List'!master_food_list,4,FALSE)</f>
        <v>Pouch</v>
      </c>
    </row>
    <row r="215" spans="1:8" ht="34" x14ac:dyDescent="0.2">
      <c r="A215" s="208" t="s">
        <v>510</v>
      </c>
      <c r="B215" s="171">
        <v>1</v>
      </c>
      <c r="C215" s="188" t="s">
        <v>463</v>
      </c>
      <c r="D215" s="188" t="s">
        <v>461</v>
      </c>
      <c r="E215" s="205" t="s">
        <v>327</v>
      </c>
      <c r="F215" s="208" t="str">
        <f>VLOOKUP($E215,'Master Food List'!master_food_list,21,FALSE)</f>
        <v>Epic</v>
      </c>
      <c r="G215" s="208" t="str">
        <f>VLOOKUP($E215,'Master Food List'!master_food_list,22,FALSE)</f>
        <v>Amazon</v>
      </c>
      <c r="H215" s="208" t="str">
        <f>VLOOKUP($E215,'Master Food List'!master_food_list,4,FALSE)</f>
        <v>Pack of 12</v>
      </c>
    </row>
    <row r="216" spans="1:8" ht="17" x14ac:dyDescent="0.2">
      <c r="A216" s="208" t="s">
        <v>510</v>
      </c>
      <c r="B216" s="171">
        <v>1</v>
      </c>
      <c r="C216" s="188" t="s">
        <v>463</v>
      </c>
      <c r="D216" s="188" t="s">
        <v>460</v>
      </c>
      <c r="E216" s="205"/>
      <c r="F216" s="208" t="e">
        <f>VLOOKUP($E216,'Master Food List'!master_food_list,21,FALSE)</f>
        <v>#N/A</v>
      </c>
      <c r="G216" s="208" t="e">
        <f>VLOOKUP($E216,'Master Food List'!master_food_list,22,FALSE)</f>
        <v>#N/A</v>
      </c>
      <c r="H216" s="208" t="e">
        <f>VLOOKUP($E216,'Master Food List'!master_food_list,4,FALSE)</f>
        <v>#N/A</v>
      </c>
    </row>
    <row r="217" spans="1:8" ht="34" x14ac:dyDescent="0.2">
      <c r="A217" s="208" t="s">
        <v>510</v>
      </c>
      <c r="B217" s="171">
        <v>1</v>
      </c>
      <c r="C217" s="188" t="s">
        <v>463</v>
      </c>
      <c r="D217" s="188" t="s">
        <v>459</v>
      </c>
      <c r="E217" s="205" t="s">
        <v>347</v>
      </c>
      <c r="F217" s="208" t="str">
        <f>VLOOKUP($E217,'Master Food List'!master_food_list,21,FALSE)</f>
        <v>Thrive Life</v>
      </c>
      <c r="G217" s="208" t="str">
        <f>VLOOKUP($E217,'Master Food List'!master_food_list,22,FALSE)</f>
        <v>Thrive Life</v>
      </c>
      <c r="H217" s="208" t="str">
        <f>VLOOKUP($E217,'Master Food List'!master_food_list,4,FALSE)</f>
        <v>Pouch</v>
      </c>
    </row>
    <row r="218" spans="1:8" ht="17" x14ac:dyDescent="0.2">
      <c r="A218" s="208" t="s">
        <v>510</v>
      </c>
      <c r="B218" s="171">
        <v>1</v>
      </c>
      <c r="C218" s="188" t="s">
        <v>463</v>
      </c>
      <c r="D218" s="188" t="s">
        <v>458</v>
      </c>
      <c r="E218" s="205" t="s">
        <v>493</v>
      </c>
      <c r="F218" s="208" t="str">
        <f>VLOOKUP($E218,'Master Food List'!master_food_list,21,FALSE)</f>
        <v>Backpacker's Pantry</v>
      </c>
      <c r="G218" s="208" t="str">
        <f>VLOOKUP($E218,'Master Food List'!master_food_list,22,FALSE)</f>
        <v>Backpacker's Pantry</v>
      </c>
      <c r="H218" s="208" t="str">
        <f>VLOOKUP($E218,'Master Food List'!master_food_list,4,FALSE)</f>
        <v>Pouch</v>
      </c>
    </row>
    <row r="219" spans="1:8" ht="17" x14ac:dyDescent="0.2">
      <c r="A219" s="208" t="s">
        <v>510</v>
      </c>
      <c r="B219" s="171">
        <v>1</v>
      </c>
      <c r="C219" s="188" t="s">
        <v>463</v>
      </c>
      <c r="D219" s="188" t="s">
        <v>457</v>
      </c>
      <c r="E219" s="205" t="s">
        <v>479</v>
      </c>
      <c r="F219" s="208" t="str">
        <f>VLOOKUP($E219,'Master Food List'!master_food_list,21,FALSE)</f>
        <v>Justin's</v>
      </c>
      <c r="G219" s="208" t="str">
        <f>VLOOKUP($E219,'Master Food List'!master_food_list,22,FALSE)</f>
        <v>Amazon</v>
      </c>
      <c r="H219" s="208" t="str">
        <f>VLOOKUP($E219,'Master Food List'!master_food_list,4,FALSE)</f>
        <v>Jar</v>
      </c>
    </row>
    <row r="220" spans="1:8" ht="17" x14ac:dyDescent="0.2">
      <c r="A220" s="208" t="s">
        <v>510</v>
      </c>
      <c r="B220" s="171">
        <v>1</v>
      </c>
      <c r="C220" s="188" t="s">
        <v>463</v>
      </c>
      <c r="D220" s="188" t="s">
        <v>455</v>
      </c>
      <c r="E220" s="205" t="s">
        <v>478</v>
      </c>
      <c r="F220" s="208" t="str">
        <f>VLOOKUP($E220,'Master Food List'!master_food_list,21,FALSE)</f>
        <v>Mountain House</v>
      </c>
      <c r="G220" s="208" t="str">
        <f>VLOOKUP($E220,'Master Food List'!master_food_list,22,FALSE)</f>
        <v>Amazon</v>
      </c>
      <c r="H220" s="208" t="str">
        <f>VLOOKUP($E220,'Master Food List'!master_food_list,4,FALSE)</f>
        <v>6-Pack</v>
      </c>
    </row>
    <row r="221" spans="1:8" ht="17" x14ac:dyDescent="0.2">
      <c r="A221" s="208" t="s">
        <v>510</v>
      </c>
      <c r="B221" s="170">
        <v>2</v>
      </c>
      <c r="C221" s="168" t="s">
        <v>463</v>
      </c>
      <c r="D221" s="168" t="s">
        <v>462</v>
      </c>
      <c r="E221" s="193" t="s">
        <v>485</v>
      </c>
      <c r="F221" s="208" t="str">
        <f>VLOOKUP($E221,'Master Food List'!master_food_list,21,FALSE)</f>
        <v>Mountain House</v>
      </c>
      <c r="G221" s="208" t="str">
        <f>VLOOKUP($E221,'Master Food List'!master_food_list,22,FALSE)</f>
        <v>Amazon</v>
      </c>
      <c r="H221" s="208" t="str">
        <f>VLOOKUP($E221,'Master Food List'!master_food_list,4,FALSE)</f>
        <v>#10 Can*</v>
      </c>
    </row>
    <row r="222" spans="1:8" ht="34" x14ac:dyDescent="0.2">
      <c r="A222" s="208" t="s">
        <v>510</v>
      </c>
      <c r="B222" s="170">
        <v>2</v>
      </c>
      <c r="C222" s="168" t="s">
        <v>463</v>
      </c>
      <c r="D222" s="168" t="s">
        <v>461</v>
      </c>
      <c r="E222" s="193" t="s">
        <v>414</v>
      </c>
      <c r="F222" s="208" t="str">
        <f>VLOOKUP($E222,'Master Food List'!master_food_list,21,FALSE)</f>
        <v>Snickers</v>
      </c>
      <c r="G222" s="208" t="str">
        <f>VLOOKUP($E222,'Master Food List'!master_food_list,22,FALSE)</f>
        <v>Acme</v>
      </c>
      <c r="H222" s="208" t="str">
        <f>VLOOKUP($E222,'Master Food List'!master_food_list,4,FALSE)</f>
        <v>Bar</v>
      </c>
    </row>
    <row r="223" spans="1:8" ht="17" x14ac:dyDescent="0.2">
      <c r="A223" s="208" t="s">
        <v>510</v>
      </c>
      <c r="B223" s="170">
        <v>2</v>
      </c>
      <c r="C223" s="168" t="s">
        <v>463</v>
      </c>
      <c r="D223" s="168" t="s">
        <v>460</v>
      </c>
      <c r="E223" s="193"/>
      <c r="F223" s="208" t="e">
        <f>VLOOKUP($E223,'Master Food List'!master_food_list,21,FALSE)</f>
        <v>#N/A</v>
      </c>
      <c r="G223" s="208" t="e">
        <f>VLOOKUP($E223,'Master Food List'!master_food_list,22,FALSE)</f>
        <v>#N/A</v>
      </c>
      <c r="H223" s="208" t="e">
        <f>VLOOKUP($E223,'Master Food List'!master_food_list,4,FALSE)</f>
        <v>#N/A</v>
      </c>
    </row>
    <row r="224" spans="1:8" ht="34" x14ac:dyDescent="0.2">
      <c r="A224" s="208" t="s">
        <v>510</v>
      </c>
      <c r="B224" s="170">
        <v>2</v>
      </c>
      <c r="C224" s="168" t="s">
        <v>463</v>
      </c>
      <c r="D224" s="168" t="s">
        <v>459</v>
      </c>
      <c r="E224" s="193" t="s">
        <v>397</v>
      </c>
      <c r="F224" s="208" t="str">
        <f>VLOOKUP($E224,'Master Food List'!master_food_list,21,FALSE)</f>
        <v>Clif</v>
      </c>
      <c r="G224" s="208" t="str">
        <f>VLOOKUP($E224,'Master Food List'!master_food_list,22,FALSE)</f>
        <v>Acme</v>
      </c>
      <c r="H224" s="208" t="str">
        <f>VLOOKUP($E224,'Master Food List'!master_food_list,4,FALSE)</f>
        <v>Bar</v>
      </c>
    </row>
    <row r="225" spans="1:8" ht="17" x14ac:dyDescent="0.2">
      <c r="A225" s="208" t="s">
        <v>510</v>
      </c>
      <c r="B225" s="170">
        <v>2</v>
      </c>
      <c r="C225" s="168" t="s">
        <v>463</v>
      </c>
      <c r="D225" s="168" t="s">
        <v>458</v>
      </c>
      <c r="E225" s="193" t="s">
        <v>409</v>
      </c>
      <c r="F225" s="208" t="str">
        <f>VLOOKUP($E225,'Master Food List'!master_food_list,21,FALSE)</f>
        <v>Backpacker's Pantry</v>
      </c>
      <c r="G225" s="208" t="str">
        <f>VLOOKUP($E225,'Master Food List'!master_food_list,22,FALSE)</f>
        <v>Amazon</v>
      </c>
      <c r="H225" s="208" t="str">
        <f>VLOOKUP($E225,'Master Food List'!master_food_list,4,FALSE)</f>
        <v>#10 Can*</v>
      </c>
    </row>
    <row r="226" spans="1:8" ht="17" x14ac:dyDescent="0.2">
      <c r="A226" s="208" t="s">
        <v>510</v>
      </c>
      <c r="B226" s="170">
        <v>2</v>
      </c>
      <c r="C226" s="168" t="s">
        <v>463</v>
      </c>
      <c r="D226" s="168" t="s">
        <v>457</v>
      </c>
      <c r="E226" s="193" t="s">
        <v>479</v>
      </c>
      <c r="F226" s="208" t="str">
        <f>VLOOKUP($E226,'Master Food List'!master_food_list,21,FALSE)</f>
        <v>Justin's</v>
      </c>
      <c r="G226" s="208" t="str">
        <f>VLOOKUP($E226,'Master Food List'!master_food_list,22,FALSE)</f>
        <v>Amazon</v>
      </c>
      <c r="H226" s="208" t="str">
        <f>VLOOKUP($E226,'Master Food List'!master_food_list,4,FALSE)</f>
        <v>Jar</v>
      </c>
    </row>
    <row r="227" spans="1:8" ht="17" x14ac:dyDescent="0.2">
      <c r="A227" s="208" t="s">
        <v>510</v>
      </c>
      <c r="B227" s="170">
        <v>2</v>
      </c>
      <c r="C227" s="168" t="s">
        <v>463</v>
      </c>
      <c r="D227" s="168" t="s">
        <v>455</v>
      </c>
      <c r="E227" s="193" t="s">
        <v>482</v>
      </c>
      <c r="F227" s="208" t="str">
        <f>VLOOKUP($E227,'Master Food List'!master_food_list,21,FALSE)</f>
        <v>Swiss Miss</v>
      </c>
      <c r="G227" s="208" t="str">
        <f>VLOOKUP($E227,'Master Food List'!master_food_list,22,FALSE)</f>
        <v>Amazon</v>
      </c>
      <c r="H227" s="208" t="str">
        <f>VLOOKUP($E227,'Master Food List'!master_food_list,4,FALSE)</f>
        <v>Pack of 3 boxes</v>
      </c>
    </row>
    <row r="228" spans="1:8" ht="17" x14ac:dyDescent="0.2">
      <c r="A228" s="208" t="s">
        <v>510</v>
      </c>
      <c r="B228" s="170">
        <v>3</v>
      </c>
      <c r="C228" s="168" t="s">
        <v>463</v>
      </c>
      <c r="D228" s="168" t="s">
        <v>462</v>
      </c>
      <c r="E228" s="193" t="s">
        <v>485</v>
      </c>
      <c r="F228" s="208" t="str">
        <f>VLOOKUP($E228,'Master Food List'!master_food_list,21,FALSE)</f>
        <v>Mountain House</v>
      </c>
      <c r="G228" s="208" t="str">
        <f>VLOOKUP($E228,'Master Food List'!master_food_list,22,FALSE)</f>
        <v>Amazon</v>
      </c>
      <c r="H228" s="208" t="str">
        <f>VLOOKUP($E228,'Master Food List'!master_food_list,4,FALSE)</f>
        <v>#10 Can*</v>
      </c>
    </row>
    <row r="229" spans="1:8" ht="34" x14ac:dyDescent="0.2">
      <c r="A229" s="208" t="s">
        <v>510</v>
      </c>
      <c r="B229" s="170">
        <v>3</v>
      </c>
      <c r="C229" s="168" t="s">
        <v>463</v>
      </c>
      <c r="D229" s="168" t="s">
        <v>461</v>
      </c>
      <c r="E229" s="193" t="s">
        <v>489</v>
      </c>
      <c r="F229" s="208" t="str">
        <f>VLOOKUP($E229,'Master Food List'!master_food_list,21,FALSE)</f>
        <v>Krave</v>
      </c>
      <c r="G229" s="208" t="str">
        <f>VLOOKUP($E229,'Master Food List'!master_food_list,22,FALSE)</f>
        <v>Amazon</v>
      </c>
      <c r="H229" s="208" t="str">
        <f>VLOOKUP($E229,'Master Food List'!master_food_list,4,FALSE)</f>
        <v>Pack of 8</v>
      </c>
    </row>
    <row r="230" spans="1:8" ht="17" x14ac:dyDescent="0.2">
      <c r="A230" s="208" t="s">
        <v>510</v>
      </c>
      <c r="B230" s="170">
        <v>3</v>
      </c>
      <c r="C230" s="168" t="s">
        <v>463</v>
      </c>
      <c r="D230" s="168" t="s">
        <v>460</v>
      </c>
      <c r="E230" s="193"/>
      <c r="F230" s="208" t="e">
        <f>VLOOKUP($E230,'Master Food List'!master_food_list,21,FALSE)</f>
        <v>#N/A</v>
      </c>
      <c r="G230" s="208" t="e">
        <f>VLOOKUP($E230,'Master Food List'!master_food_list,22,FALSE)</f>
        <v>#N/A</v>
      </c>
      <c r="H230" s="208" t="e">
        <f>VLOOKUP($E230,'Master Food List'!master_food_list,4,FALSE)</f>
        <v>#N/A</v>
      </c>
    </row>
    <row r="231" spans="1:8" ht="34" x14ac:dyDescent="0.2">
      <c r="A231" s="208" t="s">
        <v>510</v>
      </c>
      <c r="B231" s="170">
        <v>3</v>
      </c>
      <c r="C231" s="168" t="s">
        <v>463</v>
      </c>
      <c r="D231" s="168" t="s">
        <v>459</v>
      </c>
      <c r="E231" s="193" t="s">
        <v>427</v>
      </c>
      <c r="F231" s="208" t="str">
        <f>VLOOKUP($E231,'Master Food List'!master_food_list,21,FALSE)</f>
        <v>Nut Harvest</v>
      </c>
      <c r="G231" s="208" t="str">
        <f>VLOOKUP($E231,'Master Food List'!master_food_list,22,FALSE)</f>
        <v>Amazon</v>
      </c>
      <c r="H231" s="208" t="str">
        <f>VLOOKUP($E231,'Master Food List'!master_food_list,4,FALSE)</f>
        <v>Jar</v>
      </c>
    </row>
    <row r="232" spans="1:8" ht="17" x14ac:dyDescent="0.2">
      <c r="A232" s="208" t="s">
        <v>510</v>
      </c>
      <c r="B232" s="170">
        <v>3</v>
      </c>
      <c r="C232" s="168" t="s">
        <v>463</v>
      </c>
      <c r="D232" s="168" t="s">
        <v>458</v>
      </c>
      <c r="E232" s="193" t="s">
        <v>491</v>
      </c>
      <c r="F232" s="208" t="str">
        <f>VLOOKUP($E232,'Master Food List'!master_food_list,21,FALSE)</f>
        <v>Mountain House</v>
      </c>
      <c r="G232" s="208" t="str">
        <f>VLOOKUP($E232,'Master Food List'!master_food_list,22,FALSE)</f>
        <v>Amazon</v>
      </c>
      <c r="H232" s="208" t="str">
        <f>VLOOKUP($E232,'Master Food List'!master_food_list,4,FALSE)</f>
        <v>Pouch</v>
      </c>
    </row>
    <row r="233" spans="1:8" ht="17" x14ac:dyDescent="0.2">
      <c r="A233" s="208" t="s">
        <v>510</v>
      </c>
      <c r="B233" s="170">
        <v>3</v>
      </c>
      <c r="C233" s="168" t="s">
        <v>463</v>
      </c>
      <c r="D233" s="168" t="s">
        <v>457</v>
      </c>
      <c r="E233" s="193" t="s">
        <v>479</v>
      </c>
      <c r="F233" s="208" t="str">
        <f>VLOOKUP($E233,'Master Food List'!master_food_list,21,FALSE)</f>
        <v>Justin's</v>
      </c>
      <c r="G233" s="208" t="str">
        <f>VLOOKUP($E233,'Master Food List'!master_food_list,22,FALSE)</f>
        <v>Amazon</v>
      </c>
      <c r="H233" s="208" t="str">
        <f>VLOOKUP($E233,'Master Food List'!master_food_list,4,FALSE)</f>
        <v>Jar</v>
      </c>
    </row>
    <row r="234" spans="1:8" ht="17" x14ac:dyDescent="0.2">
      <c r="A234" s="208" t="s">
        <v>510</v>
      </c>
      <c r="B234" s="170">
        <v>3</v>
      </c>
      <c r="C234" s="168" t="s">
        <v>463</v>
      </c>
      <c r="D234" s="168" t="s">
        <v>455</v>
      </c>
      <c r="E234" s="193" t="s">
        <v>484</v>
      </c>
      <c r="F234" s="208" t="str">
        <f>VLOOKUP($E234,'Master Food List'!master_food_list,21,FALSE)</f>
        <v>Backpacker's Pantry</v>
      </c>
      <c r="G234" s="208" t="str">
        <f>VLOOKUP($E234,'Master Food List'!master_food_list,22,FALSE)</f>
        <v>Backpacker's Pantry</v>
      </c>
      <c r="H234" s="208" t="str">
        <f>VLOOKUP($E234,'Master Food List'!master_food_list,4,FALSE)</f>
        <v>Pouch</v>
      </c>
    </row>
    <row r="235" spans="1:8" ht="17" x14ac:dyDescent="0.2">
      <c r="A235" s="208" t="s">
        <v>510</v>
      </c>
      <c r="B235" s="191">
        <v>4</v>
      </c>
      <c r="C235" s="188" t="s">
        <v>463</v>
      </c>
      <c r="D235" s="188" t="s">
        <v>462</v>
      </c>
      <c r="E235" s="205" t="s">
        <v>480</v>
      </c>
      <c r="F235" s="208" t="str">
        <f>VLOOKUP($E235,'Master Food List'!master_food_list,21,FALSE)</f>
        <v>Backpacker's Pantry</v>
      </c>
      <c r="G235" s="208" t="str">
        <f>VLOOKUP($E235,'Master Food List'!master_food_list,22,FALSE)</f>
        <v>Backpacker's Pantry</v>
      </c>
      <c r="H235" s="208" t="str">
        <f>VLOOKUP($E235,'Master Food List'!master_food_list,4,FALSE)</f>
        <v>Pouch</v>
      </c>
    </row>
    <row r="236" spans="1:8" ht="34" x14ac:dyDescent="0.2">
      <c r="A236" s="208" t="s">
        <v>510</v>
      </c>
      <c r="B236" s="171">
        <v>4</v>
      </c>
      <c r="C236" s="188" t="s">
        <v>463</v>
      </c>
      <c r="D236" s="188" t="s">
        <v>461</v>
      </c>
      <c r="E236" s="205" t="s">
        <v>347</v>
      </c>
      <c r="F236" s="208" t="str">
        <f>VLOOKUP($E236,'Master Food List'!master_food_list,21,FALSE)</f>
        <v>Thrive Life</v>
      </c>
      <c r="G236" s="208" t="str">
        <f>VLOOKUP($E236,'Master Food List'!master_food_list,22,FALSE)</f>
        <v>Thrive Life</v>
      </c>
      <c r="H236" s="208" t="str">
        <f>VLOOKUP($E236,'Master Food List'!master_food_list,4,FALSE)</f>
        <v>Pouch</v>
      </c>
    </row>
    <row r="237" spans="1:8" ht="17" x14ac:dyDescent="0.2">
      <c r="A237" s="208" t="s">
        <v>510</v>
      </c>
      <c r="B237" s="171">
        <v>4</v>
      </c>
      <c r="C237" s="188" t="s">
        <v>463</v>
      </c>
      <c r="D237" s="188" t="s">
        <v>460</v>
      </c>
      <c r="E237" s="205"/>
      <c r="F237" s="208" t="e">
        <f>VLOOKUP($E237,'Master Food List'!master_food_list,21,FALSE)</f>
        <v>#N/A</v>
      </c>
      <c r="G237" s="208" t="e">
        <f>VLOOKUP($E237,'Master Food List'!master_food_list,22,FALSE)</f>
        <v>#N/A</v>
      </c>
      <c r="H237" s="208" t="e">
        <f>VLOOKUP($E237,'Master Food List'!master_food_list,4,FALSE)</f>
        <v>#N/A</v>
      </c>
    </row>
    <row r="238" spans="1:8" ht="34" x14ac:dyDescent="0.2">
      <c r="A238" s="208" t="s">
        <v>510</v>
      </c>
      <c r="B238" s="171">
        <v>4</v>
      </c>
      <c r="C238" s="188" t="s">
        <v>463</v>
      </c>
      <c r="D238" s="188" t="s">
        <v>459</v>
      </c>
      <c r="E238" s="205" t="s">
        <v>433</v>
      </c>
      <c r="F238" s="208" t="str">
        <f>VLOOKUP($E238,'Master Food List'!master_food_list,21,FALSE)</f>
        <v>Alpine Aire</v>
      </c>
      <c r="G238" s="208" t="str">
        <f>VLOOKUP($E238,'Master Food List'!master_food_list,22,FALSE)</f>
        <v>Alpine Aire</v>
      </c>
      <c r="H238" s="208" t="str">
        <f>VLOOKUP($E238,'Master Food List'!master_food_list,4,FALSE)</f>
        <v>Pouch</v>
      </c>
    </row>
    <row r="239" spans="1:8" ht="17" x14ac:dyDescent="0.2">
      <c r="A239" s="208" t="s">
        <v>510</v>
      </c>
      <c r="B239" s="171">
        <v>4</v>
      </c>
      <c r="C239" s="188" t="s">
        <v>463</v>
      </c>
      <c r="D239" s="188" t="s">
        <v>458</v>
      </c>
      <c r="E239" s="205" t="s">
        <v>492</v>
      </c>
      <c r="F239" s="208" t="str">
        <f>VLOOKUP($E239,'Master Food List'!master_food_list,21,FALSE)</f>
        <v>Mountain House</v>
      </c>
      <c r="G239" s="208" t="str">
        <f>VLOOKUP($E239,'Master Food List'!master_food_list,22,FALSE)</f>
        <v>Amazon</v>
      </c>
      <c r="H239" s="208" t="str">
        <f>VLOOKUP($E239,'Master Food List'!master_food_list,4,FALSE)</f>
        <v>6-Pack</v>
      </c>
    </row>
    <row r="240" spans="1:8" ht="17" x14ac:dyDescent="0.2">
      <c r="A240" s="208" t="s">
        <v>510</v>
      </c>
      <c r="B240" s="171">
        <v>4</v>
      </c>
      <c r="C240" s="188" t="s">
        <v>463</v>
      </c>
      <c r="D240" s="188" t="s">
        <v>457</v>
      </c>
      <c r="E240" s="205" t="s">
        <v>479</v>
      </c>
      <c r="F240" s="208" t="str">
        <f>VLOOKUP($E240,'Master Food List'!master_food_list,21,FALSE)</f>
        <v>Justin's</v>
      </c>
      <c r="G240" s="208" t="str">
        <f>VLOOKUP($E240,'Master Food List'!master_food_list,22,FALSE)</f>
        <v>Amazon</v>
      </c>
      <c r="H240" s="208" t="str">
        <f>VLOOKUP($E240,'Master Food List'!master_food_list,4,FALSE)</f>
        <v>Jar</v>
      </c>
    </row>
    <row r="241" spans="1:8" ht="17" x14ac:dyDescent="0.2">
      <c r="A241" s="208" t="s">
        <v>510</v>
      </c>
      <c r="B241" s="171">
        <v>4</v>
      </c>
      <c r="C241" s="188" t="s">
        <v>463</v>
      </c>
      <c r="D241" s="188" t="s">
        <v>455</v>
      </c>
      <c r="E241" s="205" t="s">
        <v>313</v>
      </c>
      <c r="F241" s="208" t="str">
        <f>VLOOKUP($E241,'Master Food List'!master_food_list,21,FALSE)</f>
        <v>Mountain House</v>
      </c>
      <c r="G241" s="208" t="str">
        <f>VLOOKUP($E241,'Master Food List'!master_food_list,22,FALSE)</f>
        <v>Amazon</v>
      </c>
      <c r="H241" s="208" t="str">
        <f>VLOOKUP($E241,'Master Food List'!master_food_list,4,FALSE)</f>
        <v>12-pack</v>
      </c>
    </row>
    <row r="242" spans="1:8" ht="17" x14ac:dyDescent="0.2">
      <c r="A242" s="208" t="s">
        <v>510</v>
      </c>
      <c r="B242" s="170">
        <v>5</v>
      </c>
      <c r="C242" s="168" t="s">
        <v>463</v>
      </c>
      <c r="D242" s="168" t="s">
        <v>462</v>
      </c>
      <c r="E242" s="193" t="s">
        <v>480</v>
      </c>
      <c r="F242" s="208" t="str">
        <f>VLOOKUP($E242,'Master Food List'!master_food_list,21,FALSE)</f>
        <v>Backpacker's Pantry</v>
      </c>
      <c r="G242" s="208" t="str">
        <f>VLOOKUP($E242,'Master Food List'!master_food_list,22,FALSE)</f>
        <v>Backpacker's Pantry</v>
      </c>
      <c r="H242" s="208" t="str">
        <f>VLOOKUP($E242,'Master Food List'!master_food_list,4,FALSE)</f>
        <v>Pouch</v>
      </c>
    </row>
    <row r="243" spans="1:8" ht="34" x14ac:dyDescent="0.2">
      <c r="A243" s="208" t="s">
        <v>510</v>
      </c>
      <c r="B243" s="170">
        <v>5</v>
      </c>
      <c r="C243" s="168" t="s">
        <v>463</v>
      </c>
      <c r="D243" s="168" t="s">
        <v>461</v>
      </c>
      <c r="E243" s="193" t="s">
        <v>490</v>
      </c>
      <c r="F243" s="208" t="str">
        <f>VLOOKUP($E243,'Master Food List'!master_food_list,21,FALSE)</f>
        <v>Krave</v>
      </c>
      <c r="G243" s="208" t="str">
        <f>VLOOKUP($E243,'Master Food List'!master_food_list,22,FALSE)</f>
        <v>Amazon</v>
      </c>
      <c r="H243" s="208" t="str">
        <f>VLOOKUP($E243,'Master Food List'!master_food_list,4,FALSE)</f>
        <v>Pack of 8</v>
      </c>
    </row>
    <row r="244" spans="1:8" ht="17" x14ac:dyDescent="0.2">
      <c r="A244" s="208" t="s">
        <v>510</v>
      </c>
      <c r="B244" s="170">
        <v>5</v>
      </c>
      <c r="C244" s="168" t="s">
        <v>463</v>
      </c>
      <c r="D244" s="168" t="s">
        <v>460</v>
      </c>
      <c r="E244" s="193"/>
      <c r="F244" s="208" t="e">
        <f>VLOOKUP($E244,'Master Food List'!master_food_list,21,FALSE)</f>
        <v>#N/A</v>
      </c>
      <c r="G244" s="208" t="e">
        <f>VLOOKUP($E244,'Master Food List'!master_food_list,22,FALSE)</f>
        <v>#N/A</v>
      </c>
      <c r="H244" s="208" t="e">
        <f>VLOOKUP($E244,'Master Food List'!master_food_list,4,FALSE)</f>
        <v>#N/A</v>
      </c>
    </row>
    <row r="245" spans="1:8" ht="34" x14ac:dyDescent="0.2">
      <c r="A245" s="208" t="s">
        <v>510</v>
      </c>
      <c r="B245" s="170">
        <v>5</v>
      </c>
      <c r="C245" s="168" t="s">
        <v>463</v>
      </c>
      <c r="D245" s="168" t="s">
        <v>459</v>
      </c>
      <c r="E245" s="193" t="s">
        <v>430</v>
      </c>
      <c r="F245" s="208" t="str">
        <f>VLOOKUP($E245,'Master Food List'!master_food_list,21,FALSE)</f>
        <v>Alpine Aire</v>
      </c>
      <c r="G245" s="208" t="str">
        <f>VLOOKUP($E245,'Master Food List'!master_food_list,22,FALSE)</f>
        <v>Alpine Aire</v>
      </c>
      <c r="H245" s="208" t="str">
        <f>VLOOKUP($E245,'Master Food List'!master_food_list,4,FALSE)</f>
        <v>Pouch</v>
      </c>
    </row>
    <row r="246" spans="1:8" ht="17" x14ac:dyDescent="0.2">
      <c r="A246" s="208" t="s">
        <v>510</v>
      </c>
      <c r="B246" s="170">
        <v>5</v>
      </c>
      <c r="C246" s="168" t="s">
        <v>463</v>
      </c>
      <c r="D246" s="168" t="s">
        <v>458</v>
      </c>
      <c r="E246" s="193" t="s">
        <v>439</v>
      </c>
      <c r="F246" s="208" t="str">
        <f>VLOOKUP($E246,'Master Food List'!master_food_list,21,FALSE)</f>
        <v>Alpine Aire</v>
      </c>
      <c r="G246" s="208" t="str">
        <f>VLOOKUP($E246,'Master Food List'!master_food_list,22,FALSE)</f>
        <v>Alpine Aire</v>
      </c>
      <c r="H246" s="208" t="str">
        <f>VLOOKUP($E246,'Master Food List'!master_food_list,4,FALSE)</f>
        <v>Pouch</v>
      </c>
    </row>
    <row r="247" spans="1:8" ht="17" x14ac:dyDescent="0.2">
      <c r="A247" s="208" t="s">
        <v>510</v>
      </c>
      <c r="B247" s="170">
        <v>5</v>
      </c>
      <c r="C247" s="168" t="s">
        <v>463</v>
      </c>
      <c r="D247" s="168" t="s">
        <v>457</v>
      </c>
      <c r="E247" s="193" t="s">
        <v>479</v>
      </c>
      <c r="F247" s="208" t="str">
        <f>VLOOKUP($E247,'Master Food List'!master_food_list,21,FALSE)</f>
        <v>Justin's</v>
      </c>
      <c r="G247" s="208" t="str">
        <f>VLOOKUP($E247,'Master Food List'!master_food_list,22,FALSE)</f>
        <v>Amazon</v>
      </c>
      <c r="H247" s="208" t="str">
        <f>VLOOKUP($E247,'Master Food List'!master_food_list,4,FALSE)</f>
        <v>Jar</v>
      </c>
    </row>
    <row r="248" spans="1:8" ht="17" x14ac:dyDescent="0.2">
      <c r="A248" s="208" t="s">
        <v>510</v>
      </c>
      <c r="B248" s="170">
        <v>5</v>
      </c>
      <c r="C248" s="168" t="s">
        <v>463</v>
      </c>
      <c r="D248" s="168" t="s">
        <v>455</v>
      </c>
      <c r="E248" s="193" t="s">
        <v>482</v>
      </c>
      <c r="F248" s="208" t="str">
        <f>VLOOKUP($E248,'Master Food List'!master_food_list,21,FALSE)</f>
        <v>Swiss Miss</v>
      </c>
      <c r="G248" s="208" t="str">
        <f>VLOOKUP($E248,'Master Food List'!master_food_list,22,FALSE)</f>
        <v>Amazon</v>
      </c>
      <c r="H248" s="208" t="str">
        <f>VLOOKUP($E248,'Master Food List'!master_food_list,4,FALSE)</f>
        <v>Pack of 3 boxes</v>
      </c>
    </row>
    <row r="249" spans="1:8" ht="17" x14ac:dyDescent="0.2">
      <c r="A249" s="208" t="s">
        <v>510</v>
      </c>
      <c r="B249" s="170">
        <v>6</v>
      </c>
      <c r="C249" s="168" t="s">
        <v>463</v>
      </c>
      <c r="D249" s="168" t="s">
        <v>462</v>
      </c>
      <c r="E249" s="193" t="s">
        <v>485</v>
      </c>
      <c r="F249" s="208" t="str">
        <f>VLOOKUP($E249,'Master Food List'!master_food_list,21,FALSE)</f>
        <v>Mountain House</v>
      </c>
      <c r="G249" s="208" t="str">
        <f>VLOOKUP($E249,'Master Food List'!master_food_list,22,FALSE)</f>
        <v>Amazon</v>
      </c>
      <c r="H249" s="208" t="str">
        <f>VLOOKUP($E249,'Master Food List'!master_food_list,4,FALSE)</f>
        <v>#10 Can*</v>
      </c>
    </row>
    <row r="250" spans="1:8" ht="34" x14ac:dyDescent="0.2">
      <c r="A250" s="208" t="s">
        <v>510</v>
      </c>
      <c r="B250" s="170">
        <v>6</v>
      </c>
      <c r="C250" s="168" t="s">
        <v>463</v>
      </c>
      <c r="D250" s="168" t="s">
        <v>461</v>
      </c>
      <c r="E250" s="193" t="s">
        <v>487</v>
      </c>
      <c r="F250" s="208" t="str">
        <f>VLOOKUP($E250,'Master Food List'!master_food_list,21,FALSE)</f>
        <v>Krave</v>
      </c>
      <c r="G250" s="208" t="str">
        <f>VLOOKUP($E250,'Master Food List'!master_food_list,22,FALSE)</f>
        <v>Amazon</v>
      </c>
      <c r="H250" s="208" t="str">
        <f>VLOOKUP($E250,'Master Food List'!master_food_list,4,FALSE)</f>
        <v>Pack of 8</v>
      </c>
    </row>
    <row r="251" spans="1:8" ht="17" x14ac:dyDescent="0.2">
      <c r="A251" s="208" t="s">
        <v>510</v>
      </c>
      <c r="B251" s="170">
        <v>6</v>
      </c>
      <c r="C251" s="168" t="s">
        <v>463</v>
      </c>
      <c r="D251" s="168" t="s">
        <v>460</v>
      </c>
      <c r="E251" s="193"/>
      <c r="F251" s="208" t="e">
        <f>VLOOKUP($E251,'Master Food List'!master_food_list,21,FALSE)</f>
        <v>#N/A</v>
      </c>
      <c r="G251" s="208" t="e">
        <f>VLOOKUP($E251,'Master Food List'!master_food_list,22,FALSE)</f>
        <v>#N/A</v>
      </c>
      <c r="H251" s="208" t="e">
        <f>VLOOKUP($E251,'Master Food List'!master_food_list,4,FALSE)</f>
        <v>#N/A</v>
      </c>
    </row>
    <row r="252" spans="1:8" ht="34" x14ac:dyDescent="0.2">
      <c r="A252" s="208" t="s">
        <v>510</v>
      </c>
      <c r="B252" s="170">
        <v>6</v>
      </c>
      <c r="C252" s="168" t="s">
        <v>463</v>
      </c>
      <c r="D252" s="168" t="s">
        <v>459</v>
      </c>
      <c r="E252" s="193" t="s">
        <v>430</v>
      </c>
      <c r="F252" s="208" t="str">
        <f>VLOOKUP($E252,'Master Food List'!master_food_list,21,FALSE)</f>
        <v>Alpine Aire</v>
      </c>
      <c r="G252" s="208" t="str">
        <f>VLOOKUP($E252,'Master Food List'!master_food_list,22,FALSE)</f>
        <v>Alpine Aire</v>
      </c>
      <c r="H252" s="208" t="str">
        <f>VLOOKUP($E252,'Master Food List'!master_food_list,4,FALSE)</f>
        <v>Pouch</v>
      </c>
    </row>
    <row r="253" spans="1:8" ht="17" x14ac:dyDescent="0.2">
      <c r="A253" s="208" t="s">
        <v>510</v>
      </c>
      <c r="B253" s="170">
        <v>6</v>
      </c>
      <c r="C253" s="168" t="s">
        <v>463</v>
      </c>
      <c r="D253" s="168" t="s">
        <v>458</v>
      </c>
      <c r="E253" s="193" t="s">
        <v>486</v>
      </c>
      <c r="F253" s="208" t="str">
        <f>VLOOKUP($E253,'Master Food List'!master_food_list,21,FALSE)</f>
        <v>Backpacker's Pantry</v>
      </c>
      <c r="G253" s="208" t="str">
        <f>VLOOKUP($E253,'Master Food List'!master_food_list,22,FALSE)</f>
        <v>Backpacker's Pantry</v>
      </c>
      <c r="H253" s="208" t="str">
        <f>VLOOKUP($E253,'Master Food List'!master_food_list,4,FALSE)</f>
        <v>Pouch</v>
      </c>
    </row>
    <row r="254" spans="1:8" ht="17" x14ac:dyDescent="0.2">
      <c r="A254" s="208" t="s">
        <v>510</v>
      </c>
      <c r="B254" s="170">
        <v>6</v>
      </c>
      <c r="C254" s="168" t="s">
        <v>463</v>
      </c>
      <c r="D254" s="168" t="s">
        <v>457</v>
      </c>
      <c r="E254" s="193" t="s">
        <v>479</v>
      </c>
      <c r="F254" s="208" t="str">
        <f>VLOOKUP($E254,'Master Food List'!master_food_list,21,FALSE)</f>
        <v>Justin's</v>
      </c>
      <c r="G254" s="208" t="str">
        <f>VLOOKUP($E254,'Master Food List'!master_food_list,22,FALSE)</f>
        <v>Amazon</v>
      </c>
      <c r="H254" s="208" t="str">
        <f>VLOOKUP($E254,'Master Food List'!master_food_list,4,FALSE)</f>
        <v>Jar</v>
      </c>
    </row>
    <row r="255" spans="1:8" ht="17" x14ac:dyDescent="0.2">
      <c r="A255" s="208" t="s">
        <v>510</v>
      </c>
      <c r="B255" s="170">
        <v>6</v>
      </c>
      <c r="C255" s="168" t="s">
        <v>463</v>
      </c>
      <c r="D255" s="168" t="s">
        <v>455</v>
      </c>
      <c r="E255" s="193" t="s">
        <v>313</v>
      </c>
      <c r="F255" s="208" t="str">
        <f>VLOOKUP($E255,'Master Food List'!master_food_list,21,FALSE)</f>
        <v>Mountain House</v>
      </c>
      <c r="G255" s="208" t="str">
        <f>VLOOKUP($E255,'Master Food List'!master_food_list,22,FALSE)</f>
        <v>Amazon</v>
      </c>
      <c r="H255" s="208" t="str">
        <f>VLOOKUP($E255,'Master Food List'!master_food_list,4,FALSE)</f>
        <v>12-pack</v>
      </c>
    </row>
    <row r="256" spans="1:8" ht="17" x14ac:dyDescent="0.2">
      <c r="A256" s="208" t="s">
        <v>510</v>
      </c>
      <c r="B256" s="170">
        <v>7</v>
      </c>
      <c r="C256" s="168" t="s">
        <v>463</v>
      </c>
      <c r="D256" s="168" t="s">
        <v>462</v>
      </c>
      <c r="E256" s="193" t="s">
        <v>480</v>
      </c>
      <c r="F256" s="208" t="str">
        <f>VLOOKUP($E256,'Master Food List'!master_food_list,21,FALSE)</f>
        <v>Backpacker's Pantry</v>
      </c>
      <c r="G256" s="208" t="str">
        <f>VLOOKUP($E256,'Master Food List'!master_food_list,22,FALSE)</f>
        <v>Backpacker's Pantry</v>
      </c>
      <c r="H256" s="208" t="str">
        <f>VLOOKUP($E256,'Master Food List'!master_food_list,4,FALSE)</f>
        <v>Pouch</v>
      </c>
    </row>
    <row r="257" spans="1:8" ht="34" x14ac:dyDescent="0.2">
      <c r="A257" s="208" t="s">
        <v>510</v>
      </c>
      <c r="B257" s="170">
        <v>7</v>
      </c>
      <c r="C257" s="168" t="s">
        <v>463</v>
      </c>
      <c r="D257" s="168" t="s">
        <v>461</v>
      </c>
      <c r="E257" s="193" t="s">
        <v>427</v>
      </c>
      <c r="F257" s="208" t="str">
        <f>VLOOKUP($E257,'Master Food List'!master_food_list,21,FALSE)</f>
        <v>Nut Harvest</v>
      </c>
      <c r="G257" s="208" t="str">
        <f>VLOOKUP($E257,'Master Food List'!master_food_list,22,FALSE)</f>
        <v>Amazon</v>
      </c>
      <c r="H257" s="208" t="str">
        <f>VLOOKUP($E257,'Master Food List'!master_food_list,4,FALSE)</f>
        <v>Jar</v>
      </c>
    </row>
    <row r="258" spans="1:8" ht="17" x14ac:dyDescent="0.2">
      <c r="A258" s="208" t="s">
        <v>510</v>
      </c>
      <c r="B258" s="170">
        <v>7</v>
      </c>
      <c r="C258" s="168" t="s">
        <v>463</v>
      </c>
      <c r="D258" s="168" t="s">
        <v>460</v>
      </c>
      <c r="E258" s="193"/>
      <c r="F258" s="208" t="e">
        <f>VLOOKUP($E258,'Master Food List'!master_food_list,21,FALSE)</f>
        <v>#N/A</v>
      </c>
      <c r="G258" s="208" t="e">
        <f>VLOOKUP($E258,'Master Food List'!master_food_list,22,FALSE)</f>
        <v>#N/A</v>
      </c>
      <c r="H258" s="208" t="e">
        <f>VLOOKUP($E258,'Master Food List'!master_food_list,4,FALSE)</f>
        <v>#N/A</v>
      </c>
    </row>
    <row r="259" spans="1:8" ht="34" x14ac:dyDescent="0.2">
      <c r="A259" s="208" t="s">
        <v>510</v>
      </c>
      <c r="B259" s="170">
        <v>7</v>
      </c>
      <c r="C259" s="168" t="s">
        <v>463</v>
      </c>
      <c r="D259" s="168" t="s">
        <v>459</v>
      </c>
      <c r="E259" s="193" t="s">
        <v>433</v>
      </c>
      <c r="F259" s="208" t="str">
        <f>VLOOKUP($E259,'Master Food List'!master_food_list,21,FALSE)</f>
        <v>Alpine Aire</v>
      </c>
      <c r="G259" s="208" t="str">
        <f>VLOOKUP($E259,'Master Food List'!master_food_list,22,FALSE)</f>
        <v>Alpine Aire</v>
      </c>
      <c r="H259" s="208" t="str">
        <f>VLOOKUP($E259,'Master Food List'!master_food_list,4,FALSE)</f>
        <v>Pouch</v>
      </c>
    </row>
    <row r="260" spans="1:8" ht="17" x14ac:dyDescent="0.2">
      <c r="A260" s="208" t="s">
        <v>510</v>
      </c>
      <c r="B260" s="170">
        <v>7</v>
      </c>
      <c r="C260" s="168" t="s">
        <v>463</v>
      </c>
      <c r="D260" s="168" t="s">
        <v>458</v>
      </c>
      <c r="E260" s="193" t="s">
        <v>409</v>
      </c>
      <c r="F260" s="208" t="str">
        <f>VLOOKUP($E260,'Master Food List'!master_food_list,21,FALSE)</f>
        <v>Backpacker's Pantry</v>
      </c>
      <c r="G260" s="208" t="str">
        <f>VLOOKUP($E260,'Master Food List'!master_food_list,22,FALSE)</f>
        <v>Amazon</v>
      </c>
      <c r="H260" s="208" t="str">
        <f>VLOOKUP($E260,'Master Food List'!master_food_list,4,FALSE)</f>
        <v>#10 Can*</v>
      </c>
    </row>
    <row r="261" spans="1:8" ht="17" x14ac:dyDescent="0.2">
      <c r="A261" s="208" t="s">
        <v>510</v>
      </c>
      <c r="B261" s="170">
        <v>7</v>
      </c>
      <c r="C261" s="168" t="s">
        <v>463</v>
      </c>
      <c r="D261" s="168" t="s">
        <v>457</v>
      </c>
      <c r="E261" s="193" t="s">
        <v>479</v>
      </c>
      <c r="F261" s="208" t="str">
        <f>VLOOKUP($E261,'Master Food List'!master_food_list,21,FALSE)</f>
        <v>Justin's</v>
      </c>
      <c r="G261" s="208" t="str">
        <f>VLOOKUP($E261,'Master Food List'!master_food_list,22,FALSE)</f>
        <v>Amazon</v>
      </c>
      <c r="H261" s="208" t="str">
        <f>VLOOKUP($E261,'Master Food List'!master_food_list,4,FALSE)</f>
        <v>Jar</v>
      </c>
    </row>
    <row r="262" spans="1:8" ht="17" x14ac:dyDescent="0.2">
      <c r="A262" s="208" t="s">
        <v>510</v>
      </c>
      <c r="B262" s="170">
        <v>7</v>
      </c>
      <c r="C262" s="168" t="s">
        <v>463</v>
      </c>
      <c r="D262" s="168" t="s">
        <v>455</v>
      </c>
      <c r="E262" s="193" t="s">
        <v>484</v>
      </c>
      <c r="F262" s="208" t="str">
        <f>VLOOKUP($E262,'Master Food List'!master_food_list,21,FALSE)</f>
        <v>Backpacker's Pantry</v>
      </c>
      <c r="G262" s="208" t="str">
        <f>VLOOKUP($E262,'Master Food List'!master_food_list,22,FALSE)</f>
        <v>Backpacker's Pantry</v>
      </c>
      <c r="H262" s="208" t="str">
        <f>VLOOKUP($E262,'Master Food List'!master_food_list,4,FALSE)</f>
        <v>Pouch</v>
      </c>
    </row>
    <row r="263" spans="1:8" ht="17" x14ac:dyDescent="0.2">
      <c r="A263" s="208" t="s">
        <v>510</v>
      </c>
      <c r="B263" s="171">
        <v>8</v>
      </c>
      <c r="C263" s="188" t="s">
        <v>463</v>
      </c>
      <c r="D263" s="188" t="s">
        <v>462</v>
      </c>
      <c r="E263" s="205" t="s">
        <v>480</v>
      </c>
      <c r="F263" s="208" t="str">
        <f>VLOOKUP($E263,'Master Food List'!master_food_list,21,FALSE)</f>
        <v>Backpacker's Pantry</v>
      </c>
      <c r="G263" s="208" t="str">
        <f>VLOOKUP($E263,'Master Food List'!master_food_list,22,FALSE)</f>
        <v>Backpacker's Pantry</v>
      </c>
      <c r="H263" s="208" t="str">
        <f>VLOOKUP($E263,'Master Food List'!master_food_list,4,FALSE)</f>
        <v>Pouch</v>
      </c>
    </row>
    <row r="264" spans="1:8" ht="34" x14ac:dyDescent="0.2">
      <c r="A264" s="208" t="s">
        <v>510</v>
      </c>
      <c r="B264" s="171">
        <v>8</v>
      </c>
      <c r="C264" s="188" t="s">
        <v>463</v>
      </c>
      <c r="D264" s="188" t="s">
        <v>461</v>
      </c>
      <c r="E264" s="205" t="s">
        <v>397</v>
      </c>
      <c r="F264" s="208" t="str">
        <f>VLOOKUP($E264,'Master Food List'!master_food_list,21,FALSE)</f>
        <v>Clif</v>
      </c>
      <c r="G264" s="208" t="str">
        <f>VLOOKUP($E264,'Master Food List'!master_food_list,22,FALSE)</f>
        <v>Acme</v>
      </c>
      <c r="H264" s="208" t="str">
        <f>VLOOKUP($E264,'Master Food List'!master_food_list,4,FALSE)</f>
        <v>Bar</v>
      </c>
    </row>
    <row r="265" spans="1:8" ht="17" x14ac:dyDescent="0.2">
      <c r="A265" s="208" t="s">
        <v>510</v>
      </c>
      <c r="B265" s="171">
        <v>8</v>
      </c>
      <c r="C265" s="188" t="s">
        <v>463</v>
      </c>
      <c r="D265" s="188" t="s">
        <v>460</v>
      </c>
      <c r="E265" s="205"/>
      <c r="F265" s="208" t="e">
        <f>VLOOKUP($E265,'Master Food List'!master_food_list,21,FALSE)</f>
        <v>#N/A</v>
      </c>
      <c r="G265" s="208" t="e">
        <f>VLOOKUP($E265,'Master Food List'!master_food_list,22,FALSE)</f>
        <v>#N/A</v>
      </c>
      <c r="H265" s="208" t="e">
        <f>VLOOKUP($E265,'Master Food List'!master_food_list,4,FALSE)</f>
        <v>#N/A</v>
      </c>
    </row>
    <row r="266" spans="1:8" ht="34" x14ac:dyDescent="0.2">
      <c r="A266" s="208" t="s">
        <v>510</v>
      </c>
      <c r="B266" s="171">
        <v>8</v>
      </c>
      <c r="C266" s="188" t="s">
        <v>463</v>
      </c>
      <c r="D266" s="188" t="s">
        <v>459</v>
      </c>
      <c r="E266" s="205" t="s">
        <v>430</v>
      </c>
      <c r="F266" s="208" t="str">
        <f>VLOOKUP($E266,'Master Food List'!master_food_list,21,FALSE)</f>
        <v>Alpine Aire</v>
      </c>
      <c r="G266" s="208" t="str">
        <f>VLOOKUP($E266,'Master Food List'!master_food_list,22,FALSE)</f>
        <v>Alpine Aire</v>
      </c>
      <c r="H266" s="208" t="str">
        <f>VLOOKUP($E266,'Master Food List'!master_food_list,4,FALSE)</f>
        <v>Pouch</v>
      </c>
    </row>
    <row r="267" spans="1:8" ht="17" x14ac:dyDescent="0.2">
      <c r="A267" s="208" t="s">
        <v>510</v>
      </c>
      <c r="B267" s="171">
        <v>8</v>
      </c>
      <c r="C267" s="188" t="s">
        <v>463</v>
      </c>
      <c r="D267" s="188" t="s">
        <v>458</v>
      </c>
      <c r="E267" s="205" t="s">
        <v>486</v>
      </c>
      <c r="F267" s="208" t="str">
        <f>VLOOKUP($E267,'Master Food List'!master_food_list,21,FALSE)</f>
        <v>Backpacker's Pantry</v>
      </c>
      <c r="G267" s="208" t="str">
        <f>VLOOKUP($E267,'Master Food List'!master_food_list,22,FALSE)</f>
        <v>Backpacker's Pantry</v>
      </c>
      <c r="H267" s="208" t="str">
        <f>VLOOKUP($E267,'Master Food List'!master_food_list,4,FALSE)</f>
        <v>Pouch</v>
      </c>
    </row>
    <row r="268" spans="1:8" ht="17" x14ac:dyDescent="0.2">
      <c r="A268" s="208" t="s">
        <v>510</v>
      </c>
      <c r="B268" s="171">
        <v>8</v>
      </c>
      <c r="C268" s="188" t="s">
        <v>463</v>
      </c>
      <c r="D268" s="188" t="s">
        <v>457</v>
      </c>
      <c r="E268" s="205" t="s">
        <v>479</v>
      </c>
      <c r="F268" s="208" t="str">
        <f>VLOOKUP($E268,'Master Food List'!master_food_list,21,FALSE)</f>
        <v>Justin's</v>
      </c>
      <c r="G268" s="208" t="str">
        <f>VLOOKUP($E268,'Master Food List'!master_food_list,22,FALSE)</f>
        <v>Amazon</v>
      </c>
      <c r="H268" s="208" t="str">
        <f>VLOOKUP($E268,'Master Food List'!master_food_list,4,FALSE)</f>
        <v>Jar</v>
      </c>
    </row>
    <row r="269" spans="1:8" ht="17" x14ac:dyDescent="0.2">
      <c r="A269" s="208" t="s">
        <v>510</v>
      </c>
      <c r="B269" s="171">
        <v>8</v>
      </c>
      <c r="C269" s="188" t="s">
        <v>463</v>
      </c>
      <c r="D269" s="188" t="s">
        <v>455</v>
      </c>
      <c r="E269" s="205" t="s">
        <v>482</v>
      </c>
      <c r="F269" s="208" t="str">
        <f>VLOOKUP($E269,'Master Food List'!master_food_list,21,FALSE)</f>
        <v>Swiss Miss</v>
      </c>
      <c r="G269" s="208" t="str">
        <f>VLOOKUP($E269,'Master Food List'!master_food_list,22,FALSE)</f>
        <v>Amazon</v>
      </c>
      <c r="H269" s="208" t="str">
        <f>VLOOKUP($E269,'Master Food List'!master_food_list,4,FALSE)</f>
        <v>Pack of 3 boxes</v>
      </c>
    </row>
    <row r="270" spans="1:8" ht="17" x14ac:dyDescent="0.2">
      <c r="A270" s="208" t="s">
        <v>510</v>
      </c>
      <c r="B270" s="170">
        <v>9</v>
      </c>
      <c r="C270" s="168" t="s">
        <v>463</v>
      </c>
      <c r="D270" s="168" t="s">
        <v>462</v>
      </c>
      <c r="E270" s="193" t="s">
        <v>480</v>
      </c>
      <c r="F270" s="208" t="str">
        <f>VLOOKUP($E270,'Master Food List'!master_food_list,21,FALSE)</f>
        <v>Backpacker's Pantry</v>
      </c>
      <c r="G270" s="208" t="str">
        <f>VLOOKUP($E270,'Master Food List'!master_food_list,22,FALSE)</f>
        <v>Backpacker's Pantry</v>
      </c>
      <c r="H270" s="208" t="str">
        <f>VLOOKUP($E270,'Master Food List'!master_food_list,4,FALSE)</f>
        <v>Pouch</v>
      </c>
    </row>
    <row r="271" spans="1:8" ht="34" x14ac:dyDescent="0.2">
      <c r="A271" s="208" t="s">
        <v>510</v>
      </c>
      <c r="B271" s="170">
        <v>9</v>
      </c>
      <c r="C271" s="168" t="s">
        <v>463</v>
      </c>
      <c r="D271" s="168" t="s">
        <v>461</v>
      </c>
      <c r="E271" s="193" t="s">
        <v>489</v>
      </c>
      <c r="F271" s="208" t="str">
        <f>VLOOKUP($E271,'Master Food List'!master_food_list,21,FALSE)</f>
        <v>Krave</v>
      </c>
      <c r="G271" s="208" t="str">
        <f>VLOOKUP($E271,'Master Food List'!master_food_list,22,FALSE)</f>
        <v>Amazon</v>
      </c>
      <c r="H271" s="208" t="str">
        <f>VLOOKUP($E271,'Master Food List'!master_food_list,4,FALSE)</f>
        <v>Pack of 8</v>
      </c>
    </row>
    <row r="272" spans="1:8" ht="17" x14ac:dyDescent="0.2">
      <c r="A272" s="208" t="s">
        <v>510</v>
      </c>
      <c r="B272" s="170">
        <v>9</v>
      </c>
      <c r="C272" s="168" t="s">
        <v>463</v>
      </c>
      <c r="D272" s="168" t="s">
        <v>460</v>
      </c>
      <c r="E272" s="193"/>
      <c r="F272" s="208" t="e">
        <f>VLOOKUP($E272,'Master Food List'!master_food_list,21,FALSE)</f>
        <v>#N/A</v>
      </c>
      <c r="G272" s="208" t="e">
        <f>VLOOKUP($E272,'Master Food List'!master_food_list,22,FALSE)</f>
        <v>#N/A</v>
      </c>
      <c r="H272" s="208" t="e">
        <f>VLOOKUP($E272,'Master Food List'!master_food_list,4,FALSE)</f>
        <v>#N/A</v>
      </c>
    </row>
    <row r="273" spans="1:8" ht="34" x14ac:dyDescent="0.2">
      <c r="A273" s="208" t="s">
        <v>510</v>
      </c>
      <c r="B273" s="170">
        <v>9</v>
      </c>
      <c r="C273" s="168" t="s">
        <v>463</v>
      </c>
      <c r="D273" s="168" t="s">
        <v>459</v>
      </c>
      <c r="E273" s="193" t="s">
        <v>427</v>
      </c>
      <c r="F273" s="208" t="str">
        <f>VLOOKUP($E273,'Master Food List'!master_food_list,21,FALSE)</f>
        <v>Nut Harvest</v>
      </c>
      <c r="G273" s="208" t="str">
        <f>VLOOKUP($E273,'Master Food List'!master_food_list,22,FALSE)</f>
        <v>Amazon</v>
      </c>
      <c r="H273" s="208" t="str">
        <f>VLOOKUP($E273,'Master Food List'!master_food_list,4,FALSE)</f>
        <v>Jar</v>
      </c>
    </row>
    <row r="274" spans="1:8" ht="17" x14ac:dyDescent="0.2">
      <c r="A274" s="208" t="s">
        <v>510</v>
      </c>
      <c r="B274" s="170">
        <v>9</v>
      </c>
      <c r="C274" s="168" t="s">
        <v>463</v>
      </c>
      <c r="D274" s="168" t="s">
        <v>458</v>
      </c>
      <c r="E274" s="193" t="s">
        <v>491</v>
      </c>
      <c r="F274" s="208" t="str">
        <f>VLOOKUP($E274,'Master Food List'!master_food_list,21,FALSE)</f>
        <v>Mountain House</v>
      </c>
      <c r="G274" s="208" t="str">
        <f>VLOOKUP($E274,'Master Food List'!master_food_list,22,FALSE)</f>
        <v>Amazon</v>
      </c>
      <c r="H274" s="208" t="str">
        <f>VLOOKUP($E274,'Master Food List'!master_food_list,4,FALSE)</f>
        <v>Pouch</v>
      </c>
    </row>
    <row r="275" spans="1:8" ht="17" x14ac:dyDescent="0.2">
      <c r="A275" s="208" t="s">
        <v>510</v>
      </c>
      <c r="B275" s="170">
        <v>9</v>
      </c>
      <c r="C275" s="168" t="s">
        <v>463</v>
      </c>
      <c r="D275" s="168" t="s">
        <v>457</v>
      </c>
      <c r="E275" s="193" t="s">
        <v>479</v>
      </c>
      <c r="F275" s="208" t="str">
        <f>VLOOKUP($E275,'Master Food List'!master_food_list,21,FALSE)</f>
        <v>Justin's</v>
      </c>
      <c r="G275" s="208" t="str">
        <f>VLOOKUP($E275,'Master Food List'!master_food_list,22,FALSE)</f>
        <v>Amazon</v>
      </c>
      <c r="H275" s="208" t="str">
        <f>VLOOKUP($E275,'Master Food List'!master_food_list,4,FALSE)</f>
        <v>Jar</v>
      </c>
    </row>
    <row r="276" spans="1:8" ht="17" x14ac:dyDescent="0.2">
      <c r="A276" s="208" t="s">
        <v>510</v>
      </c>
      <c r="B276" s="170">
        <v>9</v>
      </c>
      <c r="C276" s="168" t="s">
        <v>463</v>
      </c>
      <c r="D276" s="168" t="s">
        <v>455</v>
      </c>
      <c r="E276" s="193" t="s">
        <v>482</v>
      </c>
      <c r="F276" s="208" t="str">
        <f>VLOOKUP($E276,'Master Food List'!master_food_list,21,FALSE)</f>
        <v>Swiss Miss</v>
      </c>
      <c r="G276" s="208" t="str">
        <f>VLOOKUP($E276,'Master Food List'!master_food_list,22,FALSE)</f>
        <v>Amazon</v>
      </c>
      <c r="H276" s="208" t="str">
        <f>VLOOKUP($E276,'Master Food List'!master_food_list,4,FALSE)</f>
        <v>Pack of 3 boxes</v>
      </c>
    </row>
    <row r="277" spans="1:8" ht="17" x14ac:dyDescent="0.2">
      <c r="A277" s="208" t="s">
        <v>510</v>
      </c>
      <c r="B277" s="170">
        <v>10</v>
      </c>
      <c r="C277" s="168" t="s">
        <v>463</v>
      </c>
      <c r="D277" s="168" t="s">
        <v>462</v>
      </c>
      <c r="E277" s="193" t="s">
        <v>485</v>
      </c>
      <c r="F277" s="208" t="str">
        <f>VLOOKUP($E277,'Master Food List'!master_food_list,21,FALSE)</f>
        <v>Mountain House</v>
      </c>
      <c r="G277" s="208" t="str">
        <f>VLOOKUP($E277,'Master Food List'!master_food_list,22,FALSE)</f>
        <v>Amazon</v>
      </c>
      <c r="H277" s="208" t="str">
        <f>VLOOKUP($E277,'Master Food List'!master_food_list,4,FALSE)</f>
        <v>#10 Can*</v>
      </c>
    </row>
    <row r="278" spans="1:8" ht="34" x14ac:dyDescent="0.2">
      <c r="A278" s="208" t="s">
        <v>510</v>
      </c>
      <c r="B278" s="170">
        <v>10</v>
      </c>
      <c r="C278" s="168" t="s">
        <v>463</v>
      </c>
      <c r="D278" s="168" t="s">
        <v>461</v>
      </c>
      <c r="E278" s="193" t="s">
        <v>327</v>
      </c>
      <c r="F278" s="208" t="str">
        <f>VLOOKUP($E278,'Master Food List'!master_food_list,21,FALSE)</f>
        <v>Epic</v>
      </c>
      <c r="G278" s="208" t="str">
        <f>VLOOKUP($E278,'Master Food List'!master_food_list,22,FALSE)</f>
        <v>Amazon</v>
      </c>
      <c r="H278" s="208" t="str">
        <f>VLOOKUP($E278,'Master Food List'!master_food_list,4,FALSE)</f>
        <v>Pack of 12</v>
      </c>
    </row>
    <row r="279" spans="1:8" ht="17" x14ac:dyDescent="0.2">
      <c r="A279" s="208" t="s">
        <v>510</v>
      </c>
      <c r="B279" s="170">
        <v>10</v>
      </c>
      <c r="C279" s="168" t="s">
        <v>463</v>
      </c>
      <c r="D279" s="168" t="s">
        <v>460</v>
      </c>
      <c r="E279" s="193"/>
      <c r="F279" s="208" t="e">
        <f>VLOOKUP($E279,'Master Food List'!master_food_list,21,FALSE)</f>
        <v>#N/A</v>
      </c>
      <c r="G279" s="208" t="e">
        <f>VLOOKUP($E279,'Master Food List'!master_food_list,22,FALSE)</f>
        <v>#N/A</v>
      </c>
      <c r="H279" s="208" t="e">
        <f>VLOOKUP($E279,'Master Food List'!master_food_list,4,FALSE)</f>
        <v>#N/A</v>
      </c>
    </row>
    <row r="280" spans="1:8" ht="34" x14ac:dyDescent="0.2">
      <c r="A280" s="208" t="s">
        <v>510</v>
      </c>
      <c r="B280" s="170">
        <v>10</v>
      </c>
      <c r="C280" s="168" t="s">
        <v>463</v>
      </c>
      <c r="D280" s="168" t="s">
        <v>459</v>
      </c>
      <c r="E280" s="193" t="s">
        <v>433</v>
      </c>
      <c r="F280" s="208" t="str">
        <f>VLOOKUP($E280,'Master Food List'!master_food_list,21,FALSE)</f>
        <v>Alpine Aire</v>
      </c>
      <c r="G280" s="208" t="str">
        <f>VLOOKUP($E280,'Master Food List'!master_food_list,22,FALSE)</f>
        <v>Alpine Aire</v>
      </c>
      <c r="H280" s="208" t="str">
        <f>VLOOKUP($E280,'Master Food List'!master_food_list,4,FALSE)</f>
        <v>Pouch</v>
      </c>
    </row>
    <row r="281" spans="1:8" ht="17" x14ac:dyDescent="0.2">
      <c r="A281" s="208" t="s">
        <v>510</v>
      </c>
      <c r="B281" s="170">
        <v>10</v>
      </c>
      <c r="C281" s="168" t="s">
        <v>463</v>
      </c>
      <c r="D281" s="168" t="s">
        <v>458</v>
      </c>
      <c r="E281" s="193" t="s">
        <v>409</v>
      </c>
      <c r="F281" s="208" t="str">
        <f>VLOOKUP($E281,'Master Food List'!master_food_list,21,FALSE)</f>
        <v>Backpacker's Pantry</v>
      </c>
      <c r="G281" s="208" t="str">
        <f>VLOOKUP($E281,'Master Food List'!master_food_list,22,FALSE)</f>
        <v>Amazon</v>
      </c>
      <c r="H281" s="208" t="str">
        <f>VLOOKUP($E281,'Master Food List'!master_food_list,4,FALSE)</f>
        <v>#10 Can*</v>
      </c>
    </row>
    <row r="282" spans="1:8" ht="17" x14ac:dyDescent="0.2">
      <c r="A282" s="208" t="s">
        <v>510</v>
      </c>
      <c r="B282" s="170">
        <v>10</v>
      </c>
      <c r="C282" s="168" t="s">
        <v>463</v>
      </c>
      <c r="D282" s="168" t="s">
        <v>457</v>
      </c>
      <c r="E282" s="193" t="s">
        <v>479</v>
      </c>
      <c r="F282" s="208" t="str">
        <f>VLOOKUP($E282,'Master Food List'!master_food_list,21,FALSE)</f>
        <v>Justin's</v>
      </c>
      <c r="G282" s="208" t="str">
        <f>VLOOKUP($E282,'Master Food List'!master_food_list,22,FALSE)</f>
        <v>Amazon</v>
      </c>
      <c r="H282" s="208" t="str">
        <f>VLOOKUP($E282,'Master Food List'!master_food_list,4,FALSE)</f>
        <v>Jar</v>
      </c>
    </row>
    <row r="283" spans="1:8" ht="17" x14ac:dyDescent="0.2">
      <c r="A283" s="208" t="s">
        <v>510</v>
      </c>
      <c r="B283" s="170">
        <v>10</v>
      </c>
      <c r="C283" s="168" t="s">
        <v>463</v>
      </c>
      <c r="D283" s="168" t="s">
        <v>455</v>
      </c>
      <c r="E283" s="193" t="s">
        <v>482</v>
      </c>
      <c r="F283" s="208" t="str">
        <f>VLOOKUP($E283,'Master Food List'!master_food_list,21,FALSE)</f>
        <v>Swiss Miss</v>
      </c>
      <c r="G283" s="208" t="str">
        <f>VLOOKUP($E283,'Master Food List'!master_food_list,22,FALSE)</f>
        <v>Amazon</v>
      </c>
      <c r="H283" s="208" t="str">
        <f>VLOOKUP($E283,'Master Food List'!master_food_list,4,FALSE)</f>
        <v>Pack of 3 boxes</v>
      </c>
    </row>
    <row r="284" spans="1:8" ht="34" x14ac:dyDescent="0.2">
      <c r="A284" s="208" t="s">
        <v>510</v>
      </c>
      <c r="B284" s="163">
        <v>11</v>
      </c>
      <c r="C284" s="164" t="s">
        <v>15</v>
      </c>
      <c r="D284" s="164" t="s">
        <v>462</v>
      </c>
      <c r="E284" s="203" t="s">
        <v>498</v>
      </c>
      <c r="F284" s="208" t="str">
        <f>VLOOKUP($E284,'Master Food List'!master_food_list,21,FALSE)</f>
        <v>? &amp; Mountain House</v>
      </c>
      <c r="G284" s="208" t="str">
        <f>VLOOKUP($E284,'Master Food List'!master_food_list,22,FALSE)</f>
        <v>Acme &amp; Mountain House</v>
      </c>
      <c r="H284" s="208">
        <f>VLOOKUP($E284,'Master Food List'!master_food_list,4,FALSE)</f>
        <v>0</v>
      </c>
    </row>
    <row r="285" spans="1:8" ht="34" x14ac:dyDescent="0.2">
      <c r="A285" s="208" t="s">
        <v>510</v>
      </c>
      <c r="B285" s="163">
        <v>11</v>
      </c>
      <c r="C285" s="164" t="s">
        <v>15</v>
      </c>
      <c r="D285" s="164" t="s">
        <v>461</v>
      </c>
      <c r="E285" s="203" t="s">
        <v>481</v>
      </c>
      <c r="F285" s="208" t="str">
        <f>VLOOKUP($E285,'Master Food List'!master_food_list,21,FALSE)</f>
        <v>Kellog's</v>
      </c>
      <c r="G285" s="208" t="str">
        <f>VLOOKUP($E285,'Master Food List'!master_food_list,22,FALSE)</f>
        <v>Acme</v>
      </c>
      <c r="H285" s="208" t="str">
        <f>VLOOKUP($E285,'Master Food List'!master_food_list,4,FALSE)</f>
        <v>pkg</v>
      </c>
    </row>
    <row r="286" spans="1:8" ht="34" x14ac:dyDescent="0.2">
      <c r="A286" s="208" t="s">
        <v>510</v>
      </c>
      <c r="B286" s="163">
        <v>11</v>
      </c>
      <c r="C286" s="164" t="s">
        <v>15</v>
      </c>
      <c r="D286" s="164" t="s">
        <v>460</v>
      </c>
      <c r="E286" s="203" t="s">
        <v>495</v>
      </c>
      <c r="F286" s="208" t="str">
        <f>VLOOKUP($E286,'Master Food List'!master_food_list,21,FALSE)</f>
        <v>Starbucks &amp; Hoosier Hill Farm</v>
      </c>
      <c r="G286" s="208" t="str">
        <f>VLOOKUP($E286,'Master Food List'!master_food_list,22,FALSE)</f>
        <v>Amazon</v>
      </c>
      <c r="H286" s="208">
        <f>VLOOKUP($E286,'Master Food List'!master_food_list,4,FALSE)</f>
        <v>0</v>
      </c>
    </row>
    <row r="287" spans="1:8" ht="34" x14ac:dyDescent="0.2">
      <c r="A287" s="208" t="s">
        <v>510</v>
      </c>
      <c r="B287" s="163">
        <v>11</v>
      </c>
      <c r="C287" s="164" t="s">
        <v>15</v>
      </c>
      <c r="D287" s="164" t="s">
        <v>459</v>
      </c>
      <c r="E287" s="203" t="s">
        <v>494</v>
      </c>
      <c r="F287" s="208" t="str">
        <f>VLOOKUP($E287,'Master Food List'!master_food_list,21,FALSE)</f>
        <v>Thrive Life</v>
      </c>
      <c r="G287" s="208" t="str">
        <f>VLOOKUP($E287,'Master Food List'!master_food_list,22,FALSE)</f>
        <v>Thrive Life</v>
      </c>
      <c r="H287" s="208" t="str">
        <f>VLOOKUP($E287,'Master Food List'!master_food_list,4,FALSE)</f>
        <v>Pouch</v>
      </c>
    </row>
    <row r="288" spans="1:8" ht="34" x14ac:dyDescent="0.2">
      <c r="A288" s="208" t="s">
        <v>510</v>
      </c>
      <c r="B288" s="163">
        <v>11</v>
      </c>
      <c r="C288" s="164" t="s">
        <v>15</v>
      </c>
      <c r="D288" s="164" t="s">
        <v>458</v>
      </c>
      <c r="E288" s="203" t="s">
        <v>493</v>
      </c>
      <c r="F288" s="208" t="str">
        <f>VLOOKUP($E288,'Master Food List'!master_food_list,21,FALSE)</f>
        <v>Backpacker's Pantry</v>
      </c>
      <c r="G288" s="208" t="str">
        <f>VLOOKUP($E288,'Master Food List'!master_food_list,22,FALSE)</f>
        <v>Backpacker's Pantry</v>
      </c>
      <c r="H288" s="208" t="str">
        <f>VLOOKUP($E288,'Master Food List'!master_food_list,4,FALSE)</f>
        <v>Pouch</v>
      </c>
    </row>
    <row r="289" spans="1:8" ht="34" x14ac:dyDescent="0.2">
      <c r="A289" s="208" t="s">
        <v>510</v>
      </c>
      <c r="B289" s="163">
        <v>11</v>
      </c>
      <c r="C289" s="164" t="s">
        <v>15</v>
      </c>
      <c r="D289" s="164" t="s">
        <v>457</v>
      </c>
      <c r="E289" s="203"/>
      <c r="F289" s="208" t="e">
        <f>VLOOKUP($E289,'Master Food List'!master_food_list,21,FALSE)</f>
        <v>#N/A</v>
      </c>
      <c r="G289" s="208" t="e">
        <f>VLOOKUP($E289,'Master Food List'!master_food_list,22,FALSE)</f>
        <v>#N/A</v>
      </c>
      <c r="H289" s="208" t="e">
        <f>VLOOKUP($E289,'Master Food List'!master_food_list,4,FALSE)</f>
        <v>#N/A</v>
      </c>
    </row>
    <row r="290" spans="1:8" ht="34" x14ac:dyDescent="0.2">
      <c r="A290" s="208" t="s">
        <v>510</v>
      </c>
      <c r="B290" s="163">
        <v>11</v>
      </c>
      <c r="C290" s="164" t="s">
        <v>15</v>
      </c>
      <c r="D290" s="164" t="s">
        <v>455</v>
      </c>
      <c r="E290" s="203" t="s">
        <v>484</v>
      </c>
      <c r="F290" s="208" t="str">
        <f>VLOOKUP($E290,'Master Food List'!master_food_list,21,FALSE)</f>
        <v>Backpacker's Pantry</v>
      </c>
      <c r="G290" s="208" t="str">
        <f>VLOOKUP($E290,'Master Food List'!master_food_list,22,FALSE)</f>
        <v>Backpacker's Pantry</v>
      </c>
      <c r="H290" s="208" t="str">
        <f>VLOOKUP($E290,'Master Food List'!master_food_list,4,FALSE)</f>
        <v>Pouch</v>
      </c>
    </row>
    <row r="291" spans="1:8" ht="34" x14ac:dyDescent="0.2">
      <c r="A291" s="208" t="s">
        <v>510</v>
      </c>
      <c r="B291" s="171">
        <v>12</v>
      </c>
      <c r="C291" s="188" t="s">
        <v>15</v>
      </c>
      <c r="D291" s="188" t="s">
        <v>462</v>
      </c>
      <c r="E291" s="205" t="s">
        <v>480</v>
      </c>
      <c r="F291" s="208" t="str">
        <f>VLOOKUP($E291,'Master Food List'!master_food_list,21,FALSE)</f>
        <v>Backpacker's Pantry</v>
      </c>
      <c r="G291" s="208" t="str">
        <f>VLOOKUP($E291,'Master Food List'!master_food_list,22,FALSE)</f>
        <v>Backpacker's Pantry</v>
      </c>
      <c r="H291" s="208" t="str">
        <f>VLOOKUP($E291,'Master Food List'!master_food_list,4,FALSE)</f>
        <v>Pouch</v>
      </c>
    </row>
    <row r="292" spans="1:8" ht="34" x14ac:dyDescent="0.2">
      <c r="A292" s="208" t="s">
        <v>510</v>
      </c>
      <c r="B292" s="171">
        <v>12</v>
      </c>
      <c r="C292" s="188" t="s">
        <v>15</v>
      </c>
      <c r="D292" s="188" t="s">
        <v>461</v>
      </c>
      <c r="E292" s="205" t="s">
        <v>347</v>
      </c>
      <c r="F292" s="208" t="str">
        <f>VLOOKUP($E292,'Master Food List'!master_food_list,21,FALSE)</f>
        <v>Thrive Life</v>
      </c>
      <c r="G292" s="208" t="str">
        <f>VLOOKUP($E292,'Master Food List'!master_food_list,22,FALSE)</f>
        <v>Thrive Life</v>
      </c>
      <c r="H292" s="208" t="str">
        <f>VLOOKUP($E292,'Master Food List'!master_food_list,4,FALSE)</f>
        <v>Pouch</v>
      </c>
    </row>
    <row r="293" spans="1:8" ht="34" x14ac:dyDescent="0.2">
      <c r="A293" s="208" t="s">
        <v>510</v>
      </c>
      <c r="B293" s="171">
        <v>12</v>
      </c>
      <c r="C293" s="188" t="s">
        <v>15</v>
      </c>
      <c r="D293" s="188" t="s">
        <v>460</v>
      </c>
      <c r="E293" s="205" t="s">
        <v>495</v>
      </c>
      <c r="F293" s="208" t="str">
        <f>VLOOKUP($E293,'Master Food List'!master_food_list,21,FALSE)</f>
        <v>Starbucks &amp; Hoosier Hill Farm</v>
      </c>
      <c r="G293" s="208" t="str">
        <f>VLOOKUP($E293,'Master Food List'!master_food_list,22,FALSE)</f>
        <v>Amazon</v>
      </c>
      <c r="H293" s="208">
        <f>VLOOKUP($E293,'Master Food List'!master_food_list,4,FALSE)</f>
        <v>0</v>
      </c>
    </row>
    <row r="294" spans="1:8" ht="34" x14ac:dyDescent="0.2">
      <c r="A294" s="208" t="s">
        <v>510</v>
      </c>
      <c r="B294" s="171">
        <v>12</v>
      </c>
      <c r="C294" s="188" t="s">
        <v>15</v>
      </c>
      <c r="D294" s="188" t="s">
        <v>459</v>
      </c>
      <c r="E294" s="205" t="s">
        <v>430</v>
      </c>
      <c r="F294" s="208" t="str">
        <f>VLOOKUP($E294,'Master Food List'!master_food_list,21,FALSE)</f>
        <v>Alpine Aire</v>
      </c>
      <c r="G294" s="208" t="str">
        <f>VLOOKUP($E294,'Master Food List'!master_food_list,22,FALSE)</f>
        <v>Alpine Aire</v>
      </c>
      <c r="H294" s="208" t="str">
        <f>VLOOKUP($E294,'Master Food List'!master_food_list,4,FALSE)</f>
        <v>Pouch</v>
      </c>
    </row>
    <row r="295" spans="1:8" ht="34" x14ac:dyDescent="0.2">
      <c r="A295" s="208" t="s">
        <v>510</v>
      </c>
      <c r="B295" s="171">
        <v>12</v>
      </c>
      <c r="C295" s="188" t="s">
        <v>15</v>
      </c>
      <c r="D295" s="188" t="s">
        <v>458</v>
      </c>
      <c r="E295" s="205" t="s">
        <v>486</v>
      </c>
      <c r="F295" s="208" t="str">
        <f>VLOOKUP($E295,'Master Food List'!master_food_list,21,FALSE)</f>
        <v>Backpacker's Pantry</v>
      </c>
      <c r="G295" s="208" t="str">
        <f>VLOOKUP($E295,'Master Food List'!master_food_list,22,FALSE)</f>
        <v>Backpacker's Pantry</v>
      </c>
      <c r="H295" s="208" t="str">
        <f>VLOOKUP($E295,'Master Food List'!master_food_list,4,FALSE)</f>
        <v>Pouch</v>
      </c>
    </row>
    <row r="296" spans="1:8" ht="34" x14ac:dyDescent="0.2">
      <c r="A296" s="208" t="s">
        <v>510</v>
      </c>
      <c r="B296" s="171">
        <v>12</v>
      </c>
      <c r="C296" s="188" t="s">
        <v>15</v>
      </c>
      <c r="D296" s="188" t="s">
        <v>457</v>
      </c>
      <c r="E296" s="205" t="s">
        <v>479</v>
      </c>
      <c r="F296" s="208" t="str">
        <f>VLOOKUP($E296,'Master Food List'!master_food_list,21,FALSE)</f>
        <v>Justin's</v>
      </c>
      <c r="G296" s="208" t="str">
        <f>VLOOKUP($E296,'Master Food List'!master_food_list,22,FALSE)</f>
        <v>Amazon</v>
      </c>
      <c r="H296" s="208" t="str">
        <f>VLOOKUP($E296,'Master Food List'!master_food_list,4,FALSE)</f>
        <v>Jar</v>
      </c>
    </row>
    <row r="297" spans="1:8" ht="34" x14ac:dyDescent="0.2">
      <c r="A297" s="208" t="s">
        <v>510</v>
      </c>
      <c r="B297" s="171">
        <v>12</v>
      </c>
      <c r="C297" s="188" t="s">
        <v>15</v>
      </c>
      <c r="D297" s="188" t="s">
        <v>455</v>
      </c>
      <c r="E297" s="205" t="s">
        <v>482</v>
      </c>
      <c r="F297" s="208" t="str">
        <f>VLOOKUP($E297,'Master Food List'!master_food_list,21,FALSE)</f>
        <v>Swiss Miss</v>
      </c>
      <c r="G297" s="208" t="str">
        <f>VLOOKUP($E297,'Master Food List'!master_food_list,22,FALSE)</f>
        <v>Amazon</v>
      </c>
      <c r="H297" s="208" t="str">
        <f>VLOOKUP($E297,'Master Food List'!master_food_list,4,FALSE)</f>
        <v>Pack of 3 boxes</v>
      </c>
    </row>
    <row r="298" spans="1:8" ht="34" x14ac:dyDescent="0.2">
      <c r="A298" s="208" t="s">
        <v>510</v>
      </c>
      <c r="B298" s="170">
        <v>13</v>
      </c>
      <c r="C298" s="168" t="s">
        <v>15</v>
      </c>
      <c r="D298" s="168" t="s">
        <v>462</v>
      </c>
      <c r="E298" s="193" t="s">
        <v>485</v>
      </c>
      <c r="F298" s="208" t="str">
        <f>VLOOKUP($E298,'Master Food List'!master_food_list,21,FALSE)</f>
        <v>Mountain House</v>
      </c>
      <c r="G298" s="208" t="str">
        <f>VLOOKUP($E298,'Master Food List'!master_food_list,22,FALSE)</f>
        <v>Amazon</v>
      </c>
      <c r="H298" s="208" t="str">
        <f>VLOOKUP($E298,'Master Food List'!master_food_list,4,FALSE)</f>
        <v>#10 Can*</v>
      </c>
    </row>
    <row r="299" spans="1:8" ht="34" x14ac:dyDescent="0.2">
      <c r="A299" s="208" t="s">
        <v>510</v>
      </c>
      <c r="B299" s="170">
        <v>13</v>
      </c>
      <c r="C299" s="168" t="s">
        <v>15</v>
      </c>
      <c r="D299" s="168" t="s">
        <v>461</v>
      </c>
      <c r="E299" s="193" t="s">
        <v>354</v>
      </c>
      <c r="F299" s="208" t="str">
        <f>VLOOKUP($E299,'Master Food List'!master_food_list,21,FALSE)</f>
        <v>Thrive Life</v>
      </c>
      <c r="G299" s="208" t="str">
        <f>VLOOKUP($E299,'Master Food List'!master_food_list,22,FALSE)</f>
        <v>Thrive Life</v>
      </c>
      <c r="H299" s="208" t="str">
        <f>VLOOKUP($E299,'Master Food List'!master_food_list,4,FALSE)</f>
        <v>Pouch</v>
      </c>
    </row>
    <row r="300" spans="1:8" ht="34" x14ac:dyDescent="0.2">
      <c r="A300" s="208" t="s">
        <v>510</v>
      </c>
      <c r="B300" s="170">
        <v>13</v>
      </c>
      <c r="C300" s="168" t="s">
        <v>15</v>
      </c>
      <c r="D300" s="168" t="s">
        <v>460</v>
      </c>
      <c r="E300" s="193"/>
      <c r="F300" s="208" t="e">
        <f>VLOOKUP($E300,'Master Food List'!master_food_list,21,FALSE)</f>
        <v>#N/A</v>
      </c>
      <c r="G300" s="208" t="e">
        <f>VLOOKUP($E300,'Master Food List'!master_food_list,22,FALSE)</f>
        <v>#N/A</v>
      </c>
      <c r="H300" s="208" t="e">
        <f>VLOOKUP($E300,'Master Food List'!master_food_list,4,FALSE)</f>
        <v>#N/A</v>
      </c>
    </row>
    <row r="301" spans="1:8" ht="34" x14ac:dyDescent="0.2">
      <c r="A301" s="208" t="s">
        <v>510</v>
      </c>
      <c r="B301" s="170">
        <v>13</v>
      </c>
      <c r="C301" s="168" t="s">
        <v>15</v>
      </c>
      <c r="D301" s="168" t="s">
        <v>459</v>
      </c>
      <c r="E301" s="193" t="s">
        <v>427</v>
      </c>
      <c r="F301" s="208" t="str">
        <f>VLOOKUP($E301,'Master Food List'!master_food_list,21,FALSE)</f>
        <v>Nut Harvest</v>
      </c>
      <c r="G301" s="208" t="str">
        <f>VLOOKUP($E301,'Master Food List'!master_food_list,22,FALSE)</f>
        <v>Amazon</v>
      </c>
      <c r="H301" s="208" t="str">
        <f>VLOOKUP($E301,'Master Food List'!master_food_list,4,FALSE)</f>
        <v>Jar</v>
      </c>
    </row>
    <row r="302" spans="1:8" ht="34" x14ac:dyDescent="0.2">
      <c r="A302" s="208" t="s">
        <v>510</v>
      </c>
      <c r="B302" s="170">
        <v>13</v>
      </c>
      <c r="C302" s="168" t="s">
        <v>15</v>
      </c>
      <c r="D302" s="168" t="s">
        <v>458</v>
      </c>
      <c r="E302" s="193" t="s">
        <v>336</v>
      </c>
      <c r="F302" s="208" t="str">
        <f>VLOOKUP($E302,'Master Food List'!master_food_list,21,FALSE)</f>
        <v>Mountain House</v>
      </c>
      <c r="G302" s="208" t="str">
        <f>VLOOKUP($E302,'Master Food List'!master_food_list,22,FALSE)</f>
        <v>Amazon</v>
      </c>
      <c r="H302" s="208" t="str">
        <f>VLOOKUP($E302,'Master Food List'!master_food_list,4,FALSE)</f>
        <v>#10 Can*</v>
      </c>
    </row>
    <row r="303" spans="1:8" ht="34" x14ac:dyDescent="0.2">
      <c r="A303" s="208" t="s">
        <v>510</v>
      </c>
      <c r="B303" s="170">
        <v>13</v>
      </c>
      <c r="C303" s="168" t="s">
        <v>15</v>
      </c>
      <c r="D303" s="168" t="s">
        <v>457</v>
      </c>
      <c r="E303" s="193" t="s">
        <v>479</v>
      </c>
      <c r="F303" s="208" t="str">
        <f>VLOOKUP($E303,'Master Food List'!master_food_list,21,FALSE)</f>
        <v>Justin's</v>
      </c>
      <c r="G303" s="208" t="str">
        <f>VLOOKUP($E303,'Master Food List'!master_food_list,22,FALSE)</f>
        <v>Amazon</v>
      </c>
      <c r="H303" s="208" t="str">
        <f>VLOOKUP($E303,'Master Food List'!master_food_list,4,FALSE)</f>
        <v>Jar</v>
      </c>
    </row>
    <row r="304" spans="1:8" ht="34" x14ac:dyDescent="0.2">
      <c r="A304" s="208" t="s">
        <v>510</v>
      </c>
      <c r="B304" s="170">
        <v>13</v>
      </c>
      <c r="C304" s="168" t="s">
        <v>15</v>
      </c>
      <c r="D304" s="168" t="s">
        <v>455</v>
      </c>
      <c r="E304" s="193" t="s">
        <v>478</v>
      </c>
      <c r="F304" s="208" t="str">
        <f>VLOOKUP($E304,'Master Food List'!master_food_list,21,FALSE)</f>
        <v>Mountain House</v>
      </c>
      <c r="G304" s="208" t="str">
        <f>VLOOKUP($E304,'Master Food List'!master_food_list,22,FALSE)</f>
        <v>Amazon</v>
      </c>
      <c r="H304" s="208" t="str">
        <f>VLOOKUP($E304,'Master Food List'!master_food_list,4,FALSE)</f>
        <v>6-Pack</v>
      </c>
    </row>
    <row r="305" spans="1:8" ht="34" x14ac:dyDescent="0.2">
      <c r="A305" s="208" t="s">
        <v>510</v>
      </c>
      <c r="B305" s="170">
        <v>14</v>
      </c>
      <c r="C305" s="168" t="s">
        <v>15</v>
      </c>
      <c r="D305" s="168" t="s">
        <v>462</v>
      </c>
      <c r="E305" s="193" t="s">
        <v>485</v>
      </c>
      <c r="F305" s="208" t="str">
        <f>VLOOKUP($E305,'Master Food List'!master_food_list,21,FALSE)</f>
        <v>Mountain House</v>
      </c>
      <c r="G305" s="208" t="str">
        <f>VLOOKUP($E305,'Master Food List'!master_food_list,22,FALSE)</f>
        <v>Amazon</v>
      </c>
      <c r="H305" s="208" t="str">
        <f>VLOOKUP($E305,'Master Food List'!master_food_list,4,FALSE)</f>
        <v>#10 Can*</v>
      </c>
    </row>
    <row r="306" spans="1:8" ht="34" x14ac:dyDescent="0.2">
      <c r="A306" s="208" t="s">
        <v>510</v>
      </c>
      <c r="B306" s="170">
        <v>14</v>
      </c>
      <c r="C306" s="168" t="s">
        <v>15</v>
      </c>
      <c r="D306" s="168" t="s">
        <v>461</v>
      </c>
      <c r="E306" s="193" t="s">
        <v>433</v>
      </c>
      <c r="F306" s="208" t="str">
        <f>VLOOKUP($E306,'Master Food List'!master_food_list,21,FALSE)</f>
        <v>Alpine Aire</v>
      </c>
      <c r="G306" s="208" t="str">
        <f>VLOOKUP($E306,'Master Food List'!master_food_list,22,FALSE)</f>
        <v>Alpine Aire</v>
      </c>
      <c r="H306" s="208" t="str">
        <f>VLOOKUP($E306,'Master Food List'!master_food_list,4,FALSE)</f>
        <v>Pouch</v>
      </c>
    </row>
    <row r="307" spans="1:8" ht="34" x14ac:dyDescent="0.2">
      <c r="A307" s="208" t="s">
        <v>510</v>
      </c>
      <c r="B307" s="170">
        <v>14</v>
      </c>
      <c r="C307" s="168" t="s">
        <v>15</v>
      </c>
      <c r="D307" s="168" t="s">
        <v>460</v>
      </c>
      <c r="E307" s="193" t="s">
        <v>430</v>
      </c>
      <c r="F307" s="208" t="str">
        <f>VLOOKUP($E307,'Master Food List'!master_food_list,21,FALSE)</f>
        <v>Alpine Aire</v>
      </c>
      <c r="G307" s="208" t="str">
        <f>VLOOKUP($E307,'Master Food List'!master_food_list,22,FALSE)</f>
        <v>Alpine Aire</v>
      </c>
      <c r="H307" s="208" t="str">
        <f>VLOOKUP($E307,'Master Food List'!master_food_list,4,FALSE)</f>
        <v>Pouch</v>
      </c>
    </row>
    <row r="308" spans="1:8" ht="34" x14ac:dyDescent="0.2">
      <c r="A308" s="208" t="s">
        <v>510</v>
      </c>
      <c r="B308" s="170">
        <v>14</v>
      </c>
      <c r="C308" s="168" t="s">
        <v>15</v>
      </c>
      <c r="D308" s="168" t="s">
        <v>459</v>
      </c>
      <c r="E308" s="193" t="s">
        <v>427</v>
      </c>
      <c r="F308" s="208" t="str">
        <f>VLOOKUP($E308,'Master Food List'!master_food_list,21,FALSE)</f>
        <v>Nut Harvest</v>
      </c>
      <c r="G308" s="208" t="str">
        <f>VLOOKUP($E308,'Master Food List'!master_food_list,22,FALSE)</f>
        <v>Amazon</v>
      </c>
      <c r="H308" s="208" t="str">
        <f>VLOOKUP($E308,'Master Food List'!master_food_list,4,FALSE)</f>
        <v>Jar</v>
      </c>
    </row>
    <row r="309" spans="1:8" ht="34" x14ac:dyDescent="0.2">
      <c r="A309" s="208" t="s">
        <v>510</v>
      </c>
      <c r="B309" s="170">
        <v>14</v>
      </c>
      <c r="C309" s="168" t="s">
        <v>15</v>
      </c>
      <c r="D309" s="168" t="s">
        <v>458</v>
      </c>
      <c r="E309" s="193" t="s">
        <v>442</v>
      </c>
      <c r="F309" s="208" t="str">
        <f>VLOOKUP($E309,'Master Food List'!master_food_list,21,FALSE)</f>
        <v>Alpine Aire</v>
      </c>
      <c r="G309" s="208" t="str">
        <f>VLOOKUP($E309,'Master Food List'!master_food_list,22,FALSE)</f>
        <v>Alpine Aire</v>
      </c>
      <c r="H309" s="208" t="str">
        <f>VLOOKUP($E309,'Master Food List'!master_food_list,4,FALSE)</f>
        <v>Pouch</v>
      </c>
    </row>
    <row r="310" spans="1:8" ht="34" x14ac:dyDescent="0.2">
      <c r="A310" s="208" t="s">
        <v>510</v>
      </c>
      <c r="B310" s="170">
        <v>14</v>
      </c>
      <c r="C310" s="168" t="s">
        <v>15</v>
      </c>
      <c r="D310" s="168" t="s">
        <v>457</v>
      </c>
      <c r="E310" s="193" t="s">
        <v>479</v>
      </c>
      <c r="F310" s="208" t="str">
        <f>VLOOKUP($E310,'Master Food List'!master_food_list,21,FALSE)</f>
        <v>Justin's</v>
      </c>
      <c r="G310" s="208" t="str">
        <f>VLOOKUP($E310,'Master Food List'!master_food_list,22,FALSE)</f>
        <v>Amazon</v>
      </c>
      <c r="H310" s="208" t="str">
        <f>VLOOKUP($E310,'Master Food List'!master_food_list,4,FALSE)</f>
        <v>Jar</v>
      </c>
    </row>
    <row r="311" spans="1:8" ht="34" x14ac:dyDescent="0.2">
      <c r="A311" s="208" t="s">
        <v>510</v>
      </c>
      <c r="B311" s="170">
        <v>14</v>
      </c>
      <c r="C311" s="168" t="s">
        <v>15</v>
      </c>
      <c r="D311" s="168" t="s">
        <v>455</v>
      </c>
      <c r="E311" s="193" t="s">
        <v>482</v>
      </c>
      <c r="F311" s="208" t="str">
        <f>VLOOKUP($E311,'Master Food List'!master_food_list,21,FALSE)</f>
        <v>Swiss Miss</v>
      </c>
      <c r="G311" s="208" t="str">
        <f>VLOOKUP($E311,'Master Food List'!master_food_list,22,FALSE)</f>
        <v>Amazon</v>
      </c>
      <c r="H311" s="208" t="str">
        <f>VLOOKUP($E311,'Master Food List'!master_food_list,4,FALSE)</f>
        <v>Pack of 3 boxes</v>
      </c>
    </row>
    <row r="312" spans="1:8" ht="51" x14ac:dyDescent="0.2">
      <c r="A312" s="208" t="s">
        <v>510</v>
      </c>
      <c r="B312" s="163">
        <v>15</v>
      </c>
      <c r="C312" s="164" t="s">
        <v>210</v>
      </c>
      <c r="D312" s="164" t="s">
        <v>462</v>
      </c>
      <c r="E312" s="203" t="s">
        <v>498</v>
      </c>
      <c r="F312" s="208" t="str">
        <f>VLOOKUP($E312,'Master Food List'!master_food_list,21,FALSE)</f>
        <v>? &amp; Mountain House</v>
      </c>
      <c r="G312" s="208" t="str">
        <f>VLOOKUP($E312,'Master Food List'!master_food_list,22,FALSE)</f>
        <v>Acme &amp; Mountain House</v>
      </c>
      <c r="H312" s="208">
        <f>VLOOKUP($E312,'Master Food List'!master_food_list,4,FALSE)</f>
        <v>0</v>
      </c>
    </row>
    <row r="313" spans="1:8" ht="51" x14ac:dyDescent="0.2">
      <c r="A313" s="208" t="s">
        <v>510</v>
      </c>
      <c r="B313" s="163">
        <v>15</v>
      </c>
      <c r="C313" s="164" t="s">
        <v>210</v>
      </c>
      <c r="D313" s="164" t="s">
        <v>461</v>
      </c>
      <c r="E313" s="203" t="s">
        <v>481</v>
      </c>
      <c r="F313" s="208" t="str">
        <f>VLOOKUP($E313,'Master Food List'!master_food_list,21,FALSE)</f>
        <v>Kellog's</v>
      </c>
      <c r="G313" s="208" t="str">
        <f>VLOOKUP($E313,'Master Food List'!master_food_list,22,FALSE)</f>
        <v>Acme</v>
      </c>
      <c r="H313" s="208" t="str">
        <f>VLOOKUP($E313,'Master Food List'!master_food_list,4,FALSE)</f>
        <v>pkg</v>
      </c>
    </row>
    <row r="314" spans="1:8" ht="51" x14ac:dyDescent="0.2">
      <c r="A314" s="208" t="s">
        <v>510</v>
      </c>
      <c r="B314" s="163">
        <v>15</v>
      </c>
      <c r="C314" s="164" t="s">
        <v>210</v>
      </c>
      <c r="D314" s="164" t="s">
        <v>460</v>
      </c>
      <c r="E314" s="203" t="s">
        <v>495</v>
      </c>
      <c r="F314" s="208" t="str">
        <f>VLOOKUP($E314,'Master Food List'!master_food_list,21,FALSE)</f>
        <v>Starbucks &amp; Hoosier Hill Farm</v>
      </c>
      <c r="G314" s="208" t="str">
        <f>VLOOKUP($E314,'Master Food List'!master_food_list,22,FALSE)</f>
        <v>Amazon</v>
      </c>
      <c r="H314" s="208">
        <f>VLOOKUP($E314,'Master Food List'!master_food_list,4,FALSE)</f>
        <v>0</v>
      </c>
    </row>
    <row r="315" spans="1:8" ht="51" x14ac:dyDescent="0.2">
      <c r="A315" s="208" t="s">
        <v>510</v>
      </c>
      <c r="B315" s="163">
        <v>15</v>
      </c>
      <c r="C315" s="164" t="s">
        <v>210</v>
      </c>
      <c r="D315" s="164" t="s">
        <v>459</v>
      </c>
      <c r="E315" s="203" t="s">
        <v>347</v>
      </c>
      <c r="F315" s="208" t="str">
        <f>VLOOKUP($E315,'Master Food List'!master_food_list,21,FALSE)</f>
        <v>Thrive Life</v>
      </c>
      <c r="G315" s="208" t="str">
        <f>VLOOKUP($E315,'Master Food List'!master_food_list,22,FALSE)</f>
        <v>Thrive Life</v>
      </c>
      <c r="H315" s="208" t="str">
        <f>VLOOKUP($E315,'Master Food List'!master_food_list,4,FALSE)</f>
        <v>Pouch</v>
      </c>
    </row>
    <row r="316" spans="1:8" ht="51" x14ac:dyDescent="0.2">
      <c r="A316" s="208" t="s">
        <v>510</v>
      </c>
      <c r="B316" s="163">
        <v>15</v>
      </c>
      <c r="C316" s="164" t="s">
        <v>210</v>
      </c>
      <c r="D316" s="164" t="s">
        <v>458</v>
      </c>
      <c r="E316" s="203" t="s">
        <v>294</v>
      </c>
      <c r="F316" s="208" t="str">
        <f>VLOOKUP($E316,'Master Food List'!master_food_list,21,FALSE)</f>
        <v>Mountain House</v>
      </c>
      <c r="G316" s="208" t="str">
        <f>VLOOKUP($E316,'Master Food List'!master_food_list,22,FALSE)</f>
        <v>Amazon</v>
      </c>
      <c r="H316" s="208" t="str">
        <f>VLOOKUP($E316,'Master Food List'!master_food_list,4,FALSE)</f>
        <v>#10 Can*</v>
      </c>
    </row>
    <row r="317" spans="1:8" ht="51" x14ac:dyDescent="0.2">
      <c r="A317" s="208" t="s">
        <v>510</v>
      </c>
      <c r="B317" s="163">
        <v>15</v>
      </c>
      <c r="C317" s="164" t="s">
        <v>210</v>
      </c>
      <c r="D317" s="164" t="s">
        <v>457</v>
      </c>
      <c r="E317" s="203"/>
      <c r="F317" s="208" t="e">
        <f>VLOOKUP($E317,'Master Food List'!master_food_list,21,FALSE)</f>
        <v>#N/A</v>
      </c>
      <c r="G317" s="208" t="e">
        <f>VLOOKUP($E317,'Master Food List'!master_food_list,22,FALSE)</f>
        <v>#N/A</v>
      </c>
      <c r="H317" s="208" t="e">
        <f>VLOOKUP($E317,'Master Food List'!master_food_list,4,FALSE)</f>
        <v>#N/A</v>
      </c>
    </row>
    <row r="318" spans="1:8" ht="51" x14ac:dyDescent="0.2">
      <c r="A318" s="208" t="s">
        <v>510</v>
      </c>
      <c r="B318" s="163">
        <v>15</v>
      </c>
      <c r="C318" s="164" t="s">
        <v>210</v>
      </c>
      <c r="D318" s="164" t="s">
        <v>455</v>
      </c>
      <c r="E318" s="203" t="s">
        <v>482</v>
      </c>
      <c r="F318" s="208" t="str">
        <f>VLOOKUP($E318,'Master Food List'!master_food_list,21,FALSE)</f>
        <v>Swiss Miss</v>
      </c>
      <c r="G318" s="208" t="str">
        <f>VLOOKUP($E318,'Master Food List'!master_food_list,22,FALSE)</f>
        <v>Amazon</v>
      </c>
      <c r="H318" s="208" t="str">
        <f>VLOOKUP($E318,'Master Food List'!master_food_list,4,FALSE)</f>
        <v>Pack of 3 boxes</v>
      </c>
    </row>
    <row r="319" spans="1:8" ht="51" x14ac:dyDescent="0.2">
      <c r="A319" s="208" t="s">
        <v>510</v>
      </c>
      <c r="B319" s="163">
        <v>16</v>
      </c>
      <c r="C319" s="164" t="s">
        <v>210</v>
      </c>
      <c r="D319" s="164" t="s">
        <v>462</v>
      </c>
      <c r="E319" s="203" t="s">
        <v>284</v>
      </c>
      <c r="F319" s="208" t="str">
        <f>VLOOKUP($E319,'Master Food List'!master_food_list,21,FALSE)</f>
        <v>Kellog's</v>
      </c>
      <c r="G319" s="208" t="str">
        <f>VLOOKUP($E319,'Master Food List'!master_food_list,22,FALSE)</f>
        <v>Acme</v>
      </c>
      <c r="H319" s="208" t="str">
        <f>VLOOKUP($E319,'Master Food List'!master_food_list,4,FALSE)</f>
        <v>pkg</v>
      </c>
    </row>
    <row r="320" spans="1:8" ht="51" x14ac:dyDescent="0.2">
      <c r="A320" s="208" t="s">
        <v>510</v>
      </c>
      <c r="B320" s="163">
        <v>16</v>
      </c>
      <c r="C320" s="164" t="s">
        <v>210</v>
      </c>
      <c r="D320" s="164" t="s">
        <v>461</v>
      </c>
      <c r="E320" s="203" t="s">
        <v>284</v>
      </c>
      <c r="F320" s="208" t="str">
        <f>VLOOKUP($E320,'Master Food List'!master_food_list,21,FALSE)</f>
        <v>Kellog's</v>
      </c>
      <c r="G320" s="208" t="str">
        <f>VLOOKUP($E320,'Master Food List'!master_food_list,22,FALSE)</f>
        <v>Acme</v>
      </c>
      <c r="H320" s="208" t="str">
        <f>VLOOKUP($E320,'Master Food List'!master_food_list,4,FALSE)</f>
        <v>pkg</v>
      </c>
    </row>
    <row r="321" spans="1:8" ht="51" x14ac:dyDescent="0.2">
      <c r="A321" s="208" t="s">
        <v>510</v>
      </c>
      <c r="B321" s="163">
        <v>16</v>
      </c>
      <c r="C321" s="164" t="s">
        <v>210</v>
      </c>
      <c r="D321" s="164" t="s">
        <v>460</v>
      </c>
      <c r="E321" s="203" t="s">
        <v>495</v>
      </c>
      <c r="F321" s="208" t="str">
        <f>VLOOKUP($E321,'Master Food List'!master_food_list,21,FALSE)</f>
        <v>Starbucks &amp; Hoosier Hill Farm</v>
      </c>
      <c r="G321" s="208" t="str">
        <f>VLOOKUP($E321,'Master Food List'!master_food_list,22,FALSE)</f>
        <v>Amazon</v>
      </c>
      <c r="H321" s="208">
        <f>VLOOKUP($E321,'Master Food List'!master_food_list,4,FALSE)</f>
        <v>0</v>
      </c>
    </row>
    <row r="322" spans="1:8" ht="51" x14ac:dyDescent="0.2">
      <c r="A322" s="208" t="s">
        <v>510</v>
      </c>
      <c r="B322" s="163">
        <v>16</v>
      </c>
      <c r="C322" s="164" t="s">
        <v>210</v>
      </c>
      <c r="D322" s="164" t="s">
        <v>459</v>
      </c>
      <c r="E322" s="203" t="s">
        <v>333</v>
      </c>
      <c r="F322" s="208" t="str">
        <f>VLOOKUP($E322,'Master Food List'!master_food_list,21,FALSE)</f>
        <v>Thrive Life</v>
      </c>
      <c r="G322" s="208" t="str">
        <f>VLOOKUP($E322,'Master Food List'!master_food_list,22,FALSE)</f>
        <v>Thrive Life</v>
      </c>
      <c r="H322" s="208" t="str">
        <f>VLOOKUP($E322,'Master Food List'!master_food_list,4,FALSE)</f>
        <v>Pouch</v>
      </c>
    </row>
    <row r="323" spans="1:8" ht="51" x14ac:dyDescent="0.2">
      <c r="A323" s="208" t="s">
        <v>510</v>
      </c>
      <c r="B323" s="163">
        <v>16</v>
      </c>
      <c r="C323" s="164" t="s">
        <v>210</v>
      </c>
      <c r="D323" s="164" t="s">
        <v>458</v>
      </c>
      <c r="E323" s="203" t="s">
        <v>493</v>
      </c>
      <c r="F323" s="208" t="str">
        <f>VLOOKUP($E323,'Master Food List'!master_food_list,21,FALSE)</f>
        <v>Backpacker's Pantry</v>
      </c>
      <c r="G323" s="208" t="str">
        <f>VLOOKUP($E323,'Master Food List'!master_food_list,22,FALSE)</f>
        <v>Backpacker's Pantry</v>
      </c>
      <c r="H323" s="208" t="str">
        <f>VLOOKUP($E323,'Master Food List'!master_food_list,4,FALSE)</f>
        <v>Pouch</v>
      </c>
    </row>
    <row r="324" spans="1:8" ht="51" x14ac:dyDescent="0.2">
      <c r="A324" s="208" t="s">
        <v>510</v>
      </c>
      <c r="B324" s="163">
        <v>16</v>
      </c>
      <c r="C324" s="164" t="s">
        <v>210</v>
      </c>
      <c r="D324" s="164" t="s">
        <v>457</v>
      </c>
      <c r="E324" s="203"/>
      <c r="F324" s="208" t="e">
        <f>VLOOKUP($E324,'Master Food List'!master_food_list,21,FALSE)</f>
        <v>#N/A</v>
      </c>
      <c r="G324" s="208" t="e">
        <f>VLOOKUP($E324,'Master Food List'!master_food_list,22,FALSE)</f>
        <v>#N/A</v>
      </c>
      <c r="H324" s="208" t="e">
        <f>VLOOKUP($E324,'Master Food List'!master_food_list,4,FALSE)</f>
        <v>#N/A</v>
      </c>
    </row>
    <row r="325" spans="1:8" ht="51" x14ac:dyDescent="0.2">
      <c r="A325" s="208" t="s">
        <v>510</v>
      </c>
      <c r="B325" s="163">
        <v>16</v>
      </c>
      <c r="C325" s="164" t="s">
        <v>210</v>
      </c>
      <c r="D325" s="164" t="s">
        <v>455</v>
      </c>
      <c r="E325" s="203" t="s">
        <v>484</v>
      </c>
      <c r="F325" s="208" t="str">
        <f>VLOOKUP($E325,'Master Food List'!master_food_list,21,FALSE)</f>
        <v>Backpacker's Pantry</v>
      </c>
      <c r="G325" s="208" t="str">
        <f>VLOOKUP($E325,'Master Food List'!master_food_list,22,FALSE)</f>
        <v>Backpacker's Pantry</v>
      </c>
      <c r="H325" s="208" t="str">
        <f>VLOOKUP($E325,'Master Food List'!master_food_list,4,FALSE)</f>
        <v>Pouch</v>
      </c>
    </row>
    <row r="326" spans="1:8" ht="51" x14ac:dyDescent="0.2">
      <c r="A326" s="208" t="s">
        <v>510</v>
      </c>
      <c r="B326" s="171">
        <v>17</v>
      </c>
      <c r="C326" s="188" t="s">
        <v>210</v>
      </c>
      <c r="D326" s="188" t="s">
        <v>462</v>
      </c>
      <c r="E326" s="205" t="s">
        <v>480</v>
      </c>
      <c r="F326" s="208" t="str">
        <f>VLOOKUP($E326,'Master Food List'!master_food_list,21,FALSE)</f>
        <v>Backpacker's Pantry</v>
      </c>
      <c r="G326" s="208" t="str">
        <f>VLOOKUP($E326,'Master Food List'!master_food_list,22,FALSE)</f>
        <v>Backpacker's Pantry</v>
      </c>
      <c r="H326" s="208" t="str">
        <f>VLOOKUP($E326,'Master Food List'!master_food_list,4,FALSE)</f>
        <v>Pouch</v>
      </c>
    </row>
    <row r="327" spans="1:8" ht="51" x14ac:dyDescent="0.2">
      <c r="A327" s="208" t="s">
        <v>510</v>
      </c>
      <c r="B327" s="171">
        <v>17</v>
      </c>
      <c r="C327" s="188" t="s">
        <v>210</v>
      </c>
      <c r="D327" s="188" t="s">
        <v>461</v>
      </c>
      <c r="E327" s="205" t="s">
        <v>347</v>
      </c>
      <c r="F327" s="208" t="str">
        <f>VLOOKUP($E327,'Master Food List'!master_food_list,21,FALSE)</f>
        <v>Thrive Life</v>
      </c>
      <c r="G327" s="208" t="str">
        <f>VLOOKUP($E327,'Master Food List'!master_food_list,22,FALSE)</f>
        <v>Thrive Life</v>
      </c>
      <c r="H327" s="208" t="str">
        <f>VLOOKUP($E327,'Master Food List'!master_food_list,4,FALSE)</f>
        <v>Pouch</v>
      </c>
    </row>
    <row r="328" spans="1:8" ht="51" x14ac:dyDescent="0.2">
      <c r="A328" s="208" t="s">
        <v>510</v>
      </c>
      <c r="B328" s="171">
        <v>17</v>
      </c>
      <c r="C328" s="188" t="s">
        <v>210</v>
      </c>
      <c r="D328" s="188" t="s">
        <v>460</v>
      </c>
      <c r="E328" s="205"/>
      <c r="F328" s="208" t="e">
        <f>VLOOKUP($E328,'Master Food List'!master_food_list,21,FALSE)</f>
        <v>#N/A</v>
      </c>
      <c r="G328" s="208" t="e">
        <f>VLOOKUP($E328,'Master Food List'!master_food_list,22,FALSE)</f>
        <v>#N/A</v>
      </c>
      <c r="H328" s="208" t="e">
        <f>VLOOKUP($E328,'Master Food List'!master_food_list,4,FALSE)</f>
        <v>#N/A</v>
      </c>
    </row>
    <row r="329" spans="1:8" ht="51" x14ac:dyDescent="0.2">
      <c r="A329" s="208" t="s">
        <v>510</v>
      </c>
      <c r="B329" s="171">
        <v>17</v>
      </c>
      <c r="C329" s="188" t="s">
        <v>210</v>
      </c>
      <c r="D329" s="188" t="s">
        <v>459</v>
      </c>
      <c r="E329" s="205" t="s">
        <v>430</v>
      </c>
      <c r="F329" s="208" t="str">
        <f>VLOOKUP($E329,'Master Food List'!master_food_list,21,FALSE)</f>
        <v>Alpine Aire</v>
      </c>
      <c r="G329" s="208" t="str">
        <f>VLOOKUP($E329,'Master Food List'!master_food_list,22,FALSE)</f>
        <v>Alpine Aire</v>
      </c>
      <c r="H329" s="208" t="str">
        <f>VLOOKUP($E329,'Master Food List'!master_food_list,4,FALSE)</f>
        <v>Pouch</v>
      </c>
    </row>
    <row r="330" spans="1:8" ht="51" x14ac:dyDescent="0.2">
      <c r="A330" s="208" t="s">
        <v>510</v>
      </c>
      <c r="B330" s="171">
        <v>17</v>
      </c>
      <c r="C330" s="188" t="s">
        <v>210</v>
      </c>
      <c r="D330" s="188" t="s">
        <v>458</v>
      </c>
      <c r="E330" s="205" t="s">
        <v>486</v>
      </c>
      <c r="F330" s="208" t="str">
        <f>VLOOKUP($E330,'Master Food List'!master_food_list,21,FALSE)</f>
        <v>Backpacker's Pantry</v>
      </c>
      <c r="G330" s="208" t="str">
        <f>VLOOKUP($E330,'Master Food List'!master_food_list,22,FALSE)</f>
        <v>Backpacker's Pantry</v>
      </c>
      <c r="H330" s="208" t="str">
        <f>VLOOKUP($E330,'Master Food List'!master_food_list,4,FALSE)</f>
        <v>Pouch</v>
      </c>
    </row>
    <row r="331" spans="1:8" ht="51" x14ac:dyDescent="0.2">
      <c r="A331" s="208" t="s">
        <v>510</v>
      </c>
      <c r="B331" s="171">
        <v>17</v>
      </c>
      <c r="C331" s="188" t="s">
        <v>210</v>
      </c>
      <c r="D331" s="188" t="s">
        <v>457</v>
      </c>
      <c r="E331" s="205" t="s">
        <v>479</v>
      </c>
      <c r="F331" s="208" t="str">
        <f>VLOOKUP($E331,'Master Food List'!master_food_list,21,FALSE)</f>
        <v>Justin's</v>
      </c>
      <c r="G331" s="208" t="str">
        <f>VLOOKUP($E331,'Master Food List'!master_food_list,22,FALSE)</f>
        <v>Amazon</v>
      </c>
      <c r="H331" s="208" t="str">
        <f>VLOOKUP($E331,'Master Food List'!master_food_list,4,FALSE)</f>
        <v>Jar</v>
      </c>
    </row>
    <row r="332" spans="1:8" ht="51" x14ac:dyDescent="0.2">
      <c r="A332" s="208" t="s">
        <v>510</v>
      </c>
      <c r="B332" s="171">
        <v>17</v>
      </c>
      <c r="C332" s="188" t="s">
        <v>210</v>
      </c>
      <c r="D332" s="188" t="s">
        <v>455</v>
      </c>
      <c r="E332" s="205" t="s">
        <v>313</v>
      </c>
      <c r="F332" s="208" t="str">
        <f>VLOOKUP($E332,'Master Food List'!master_food_list,21,FALSE)</f>
        <v>Mountain House</v>
      </c>
      <c r="G332" s="208" t="str">
        <f>VLOOKUP($E332,'Master Food List'!master_food_list,22,FALSE)</f>
        <v>Amazon</v>
      </c>
      <c r="H332" s="208" t="str">
        <f>VLOOKUP($E332,'Master Food List'!master_food_list,4,FALSE)</f>
        <v>12-pack</v>
      </c>
    </row>
    <row r="333" spans="1:8" ht="51" x14ac:dyDescent="0.2">
      <c r="A333" s="208" t="s">
        <v>510</v>
      </c>
      <c r="B333" s="170">
        <v>18</v>
      </c>
      <c r="C333" s="168" t="s">
        <v>210</v>
      </c>
      <c r="D333" s="168" t="s">
        <v>462</v>
      </c>
      <c r="E333" s="193" t="s">
        <v>480</v>
      </c>
      <c r="F333" s="208" t="str">
        <f>VLOOKUP($E333,'Master Food List'!master_food_list,21,FALSE)</f>
        <v>Backpacker's Pantry</v>
      </c>
      <c r="G333" s="208" t="str">
        <f>VLOOKUP($E333,'Master Food List'!master_food_list,22,FALSE)</f>
        <v>Backpacker's Pantry</v>
      </c>
      <c r="H333" s="208" t="str">
        <f>VLOOKUP($E333,'Master Food List'!master_food_list,4,FALSE)</f>
        <v>Pouch</v>
      </c>
    </row>
    <row r="334" spans="1:8" ht="51" x14ac:dyDescent="0.2">
      <c r="A334" s="208" t="s">
        <v>510</v>
      </c>
      <c r="B334" s="170">
        <v>18</v>
      </c>
      <c r="C334" s="168" t="s">
        <v>210</v>
      </c>
      <c r="D334" s="168" t="s">
        <v>461</v>
      </c>
      <c r="E334" s="193" t="s">
        <v>354</v>
      </c>
      <c r="F334" s="208" t="str">
        <f>VLOOKUP($E334,'Master Food List'!master_food_list,21,FALSE)</f>
        <v>Thrive Life</v>
      </c>
      <c r="G334" s="208" t="str">
        <f>VLOOKUP($E334,'Master Food List'!master_food_list,22,FALSE)</f>
        <v>Thrive Life</v>
      </c>
      <c r="H334" s="208" t="str">
        <f>VLOOKUP($E334,'Master Food List'!master_food_list,4,FALSE)</f>
        <v>Pouch</v>
      </c>
    </row>
    <row r="335" spans="1:8" ht="51" x14ac:dyDescent="0.2">
      <c r="A335" s="208" t="s">
        <v>510</v>
      </c>
      <c r="B335" s="170">
        <v>18</v>
      </c>
      <c r="C335" s="168" t="s">
        <v>210</v>
      </c>
      <c r="D335" s="168" t="s">
        <v>460</v>
      </c>
      <c r="E335" s="193"/>
      <c r="F335" s="208" t="e">
        <f>VLOOKUP($E335,'Master Food List'!master_food_list,21,FALSE)</f>
        <v>#N/A</v>
      </c>
      <c r="G335" s="208" t="e">
        <f>VLOOKUP($E335,'Master Food List'!master_food_list,22,FALSE)</f>
        <v>#N/A</v>
      </c>
      <c r="H335" s="208" t="e">
        <f>VLOOKUP($E335,'Master Food List'!master_food_list,4,FALSE)</f>
        <v>#N/A</v>
      </c>
    </row>
    <row r="336" spans="1:8" ht="51" x14ac:dyDescent="0.2">
      <c r="A336" s="208" t="s">
        <v>510</v>
      </c>
      <c r="B336" s="170">
        <v>18</v>
      </c>
      <c r="C336" s="168" t="s">
        <v>210</v>
      </c>
      <c r="D336" s="168" t="s">
        <v>459</v>
      </c>
      <c r="E336" s="193" t="s">
        <v>490</v>
      </c>
      <c r="F336" s="208" t="str">
        <f>VLOOKUP($E336,'Master Food List'!master_food_list,21,FALSE)</f>
        <v>Krave</v>
      </c>
      <c r="G336" s="208" t="str">
        <f>VLOOKUP($E336,'Master Food List'!master_food_list,22,FALSE)</f>
        <v>Amazon</v>
      </c>
      <c r="H336" s="208" t="str">
        <f>VLOOKUP($E336,'Master Food List'!master_food_list,4,FALSE)</f>
        <v>Pack of 8</v>
      </c>
    </row>
    <row r="337" spans="1:8" ht="51" x14ac:dyDescent="0.2">
      <c r="A337" s="208" t="s">
        <v>510</v>
      </c>
      <c r="B337" s="170">
        <v>18</v>
      </c>
      <c r="C337" s="168" t="s">
        <v>210</v>
      </c>
      <c r="D337" s="168" t="s">
        <v>458</v>
      </c>
      <c r="E337" s="193" t="s">
        <v>492</v>
      </c>
      <c r="F337" s="208" t="str">
        <f>VLOOKUP($E337,'Master Food List'!master_food_list,21,FALSE)</f>
        <v>Mountain House</v>
      </c>
      <c r="G337" s="208" t="str">
        <f>VLOOKUP($E337,'Master Food List'!master_food_list,22,FALSE)</f>
        <v>Amazon</v>
      </c>
      <c r="H337" s="208" t="str">
        <f>VLOOKUP($E337,'Master Food List'!master_food_list,4,FALSE)</f>
        <v>6-Pack</v>
      </c>
    </row>
    <row r="338" spans="1:8" ht="51" x14ac:dyDescent="0.2">
      <c r="A338" s="208" t="s">
        <v>510</v>
      </c>
      <c r="B338" s="170">
        <v>18</v>
      </c>
      <c r="C338" s="168" t="s">
        <v>210</v>
      </c>
      <c r="D338" s="168" t="s">
        <v>457</v>
      </c>
      <c r="E338" s="193" t="s">
        <v>479</v>
      </c>
      <c r="F338" s="208" t="str">
        <f>VLOOKUP($E338,'Master Food List'!master_food_list,21,FALSE)</f>
        <v>Justin's</v>
      </c>
      <c r="G338" s="208" t="str">
        <f>VLOOKUP($E338,'Master Food List'!master_food_list,22,FALSE)</f>
        <v>Amazon</v>
      </c>
      <c r="H338" s="208" t="str">
        <f>VLOOKUP($E338,'Master Food List'!master_food_list,4,FALSE)</f>
        <v>Jar</v>
      </c>
    </row>
    <row r="339" spans="1:8" ht="51" x14ac:dyDescent="0.2">
      <c r="A339" s="208" t="s">
        <v>510</v>
      </c>
      <c r="B339" s="170">
        <v>18</v>
      </c>
      <c r="C339" s="168" t="s">
        <v>210</v>
      </c>
      <c r="D339" s="168" t="s">
        <v>455</v>
      </c>
      <c r="E339" s="193" t="s">
        <v>482</v>
      </c>
      <c r="F339" s="208" t="str">
        <f>VLOOKUP($E339,'Master Food List'!master_food_list,21,FALSE)</f>
        <v>Swiss Miss</v>
      </c>
      <c r="G339" s="208" t="str">
        <f>VLOOKUP($E339,'Master Food List'!master_food_list,22,FALSE)</f>
        <v>Amazon</v>
      </c>
      <c r="H339" s="208" t="str">
        <f>VLOOKUP($E339,'Master Food List'!master_food_list,4,FALSE)</f>
        <v>Pack of 3 boxes</v>
      </c>
    </row>
    <row r="340" spans="1:8" ht="51" x14ac:dyDescent="0.2">
      <c r="A340" s="208" t="s">
        <v>510</v>
      </c>
      <c r="B340" s="170">
        <v>19</v>
      </c>
      <c r="C340" s="168" t="s">
        <v>210</v>
      </c>
      <c r="D340" s="168" t="s">
        <v>462</v>
      </c>
      <c r="E340" s="193" t="s">
        <v>480</v>
      </c>
      <c r="F340" s="208" t="str">
        <f>VLOOKUP($E340,'Master Food List'!master_food_list,21,FALSE)</f>
        <v>Backpacker's Pantry</v>
      </c>
      <c r="G340" s="208" t="str">
        <f>VLOOKUP($E340,'Master Food List'!master_food_list,22,FALSE)</f>
        <v>Backpacker's Pantry</v>
      </c>
      <c r="H340" s="208" t="str">
        <f>VLOOKUP($E340,'Master Food List'!master_food_list,4,FALSE)</f>
        <v>Pouch</v>
      </c>
    </row>
    <row r="341" spans="1:8" ht="51" x14ac:dyDescent="0.2">
      <c r="A341" s="208" t="s">
        <v>510</v>
      </c>
      <c r="B341" s="170">
        <v>19</v>
      </c>
      <c r="C341" s="168" t="s">
        <v>210</v>
      </c>
      <c r="D341" s="168" t="s">
        <v>461</v>
      </c>
      <c r="E341" s="193" t="s">
        <v>489</v>
      </c>
      <c r="F341" s="208" t="str">
        <f>VLOOKUP($E341,'Master Food List'!master_food_list,21,FALSE)</f>
        <v>Krave</v>
      </c>
      <c r="G341" s="208" t="str">
        <f>VLOOKUP($E341,'Master Food List'!master_food_list,22,FALSE)</f>
        <v>Amazon</v>
      </c>
      <c r="H341" s="208" t="str">
        <f>VLOOKUP($E341,'Master Food List'!master_food_list,4,FALSE)</f>
        <v>Pack of 8</v>
      </c>
    </row>
    <row r="342" spans="1:8" ht="51" x14ac:dyDescent="0.2">
      <c r="A342" s="208" t="s">
        <v>510</v>
      </c>
      <c r="B342" s="170">
        <v>19</v>
      </c>
      <c r="C342" s="168" t="s">
        <v>210</v>
      </c>
      <c r="D342" s="168" t="s">
        <v>460</v>
      </c>
      <c r="E342" s="193"/>
      <c r="F342" s="208" t="e">
        <f>VLOOKUP($E342,'Master Food List'!master_food_list,21,FALSE)</f>
        <v>#N/A</v>
      </c>
      <c r="G342" s="208" t="e">
        <f>VLOOKUP($E342,'Master Food List'!master_food_list,22,FALSE)</f>
        <v>#N/A</v>
      </c>
      <c r="H342" s="208" t="e">
        <f>VLOOKUP($E342,'Master Food List'!master_food_list,4,FALSE)</f>
        <v>#N/A</v>
      </c>
    </row>
    <row r="343" spans="1:8" ht="51" x14ac:dyDescent="0.2">
      <c r="A343" s="208" t="s">
        <v>510</v>
      </c>
      <c r="B343" s="170">
        <v>19</v>
      </c>
      <c r="C343" s="168" t="s">
        <v>210</v>
      </c>
      <c r="D343" s="168" t="s">
        <v>459</v>
      </c>
      <c r="E343" s="193" t="s">
        <v>427</v>
      </c>
      <c r="F343" s="208" t="str">
        <f>VLOOKUP($E343,'Master Food List'!master_food_list,21,FALSE)</f>
        <v>Nut Harvest</v>
      </c>
      <c r="G343" s="208" t="str">
        <f>VLOOKUP($E343,'Master Food List'!master_food_list,22,FALSE)</f>
        <v>Amazon</v>
      </c>
      <c r="H343" s="208" t="str">
        <f>VLOOKUP($E343,'Master Food List'!master_food_list,4,FALSE)</f>
        <v>Jar</v>
      </c>
    </row>
    <row r="344" spans="1:8" ht="51" x14ac:dyDescent="0.2">
      <c r="A344" s="208" t="s">
        <v>510</v>
      </c>
      <c r="B344" s="170">
        <v>19</v>
      </c>
      <c r="C344" s="168" t="s">
        <v>210</v>
      </c>
      <c r="D344" s="168" t="s">
        <v>458</v>
      </c>
      <c r="E344" s="193" t="s">
        <v>436</v>
      </c>
      <c r="F344" s="208" t="str">
        <f>VLOOKUP($E344,'Master Food List'!master_food_list,21,FALSE)</f>
        <v>Alpine Aire</v>
      </c>
      <c r="G344" s="208" t="str">
        <f>VLOOKUP($E344,'Master Food List'!master_food_list,22,FALSE)</f>
        <v>Alpine Aire</v>
      </c>
      <c r="H344" s="208" t="str">
        <f>VLOOKUP($E344,'Master Food List'!master_food_list,4,FALSE)</f>
        <v>Pouch</v>
      </c>
    </row>
    <row r="345" spans="1:8" ht="51" x14ac:dyDescent="0.2">
      <c r="A345" s="208" t="s">
        <v>510</v>
      </c>
      <c r="B345" s="170">
        <v>19</v>
      </c>
      <c r="C345" s="168" t="s">
        <v>210</v>
      </c>
      <c r="D345" s="168" t="s">
        <v>457</v>
      </c>
      <c r="E345" s="193" t="s">
        <v>479</v>
      </c>
      <c r="F345" s="208" t="str">
        <f>VLOOKUP($E345,'Master Food List'!master_food_list,21,FALSE)</f>
        <v>Justin's</v>
      </c>
      <c r="G345" s="208" t="str">
        <f>VLOOKUP($E345,'Master Food List'!master_food_list,22,FALSE)</f>
        <v>Amazon</v>
      </c>
      <c r="H345" s="208" t="str">
        <f>VLOOKUP($E345,'Master Food List'!master_food_list,4,FALSE)</f>
        <v>Jar</v>
      </c>
    </row>
    <row r="346" spans="1:8" ht="51" x14ac:dyDescent="0.2">
      <c r="A346" s="208" t="s">
        <v>510</v>
      </c>
      <c r="B346" s="170">
        <v>19</v>
      </c>
      <c r="C346" s="168" t="s">
        <v>210</v>
      </c>
      <c r="D346" s="168" t="s">
        <v>455</v>
      </c>
      <c r="E346" s="193" t="s">
        <v>482</v>
      </c>
      <c r="F346" s="208" t="str">
        <f>VLOOKUP($E346,'Master Food List'!master_food_list,21,FALSE)</f>
        <v>Swiss Miss</v>
      </c>
      <c r="G346" s="208" t="str">
        <f>VLOOKUP($E346,'Master Food List'!master_food_list,22,FALSE)</f>
        <v>Amazon</v>
      </c>
      <c r="H346" s="208" t="str">
        <f>VLOOKUP($E346,'Master Food List'!master_food_list,4,FALSE)</f>
        <v>Pack of 3 boxes</v>
      </c>
    </row>
    <row r="347" spans="1:8" ht="51" x14ac:dyDescent="0.2">
      <c r="A347" s="208" t="s">
        <v>510</v>
      </c>
      <c r="B347" s="170">
        <v>20</v>
      </c>
      <c r="C347" s="168" t="s">
        <v>210</v>
      </c>
      <c r="D347" s="168" t="s">
        <v>462</v>
      </c>
      <c r="E347" s="193" t="s">
        <v>485</v>
      </c>
      <c r="F347" s="208" t="str">
        <f>VLOOKUP($E347,'Master Food List'!master_food_list,21,FALSE)</f>
        <v>Mountain House</v>
      </c>
      <c r="G347" s="208" t="str">
        <f>VLOOKUP($E347,'Master Food List'!master_food_list,22,FALSE)</f>
        <v>Amazon</v>
      </c>
      <c r="H347" s="208" t="str">
        <f>VLOOKUP($E347,'Master Food List'!master_food_list,4,FALSE)</f>
        <v>#10 Can*</v>
      </c>
    </row>
    <row r="348" spans="1:8" ht="51" x14ac:dyDescent="0.2">
      <c r="A348" s="208" t="s">
        <v>510</v>
      </c>
      <c r="B348" s="170">
        <v>20</v>
      </c>
      <c r="C348" s="168" t="s">
        <v>210</v>
      </c>
      <c r="D348" s="168" t="s">
        <v>461</v>
      </c>
      <c r="E348" s="193" t="s">
        <v>333</v>
      </c>
      <c r="F348" s="208" t="str">
        <f>VLOOKUP($E348,'Master Food List'!master_food_list,21,FALSE)</f>
        <v>Thrive Life</v>
      </c>
      <c r="G348" s="208" t="str">
        <f>VLOOKUP($E348,'Master Food List'!master_food_list,22,FALSE)</f>
        <v>Thrive Life</v>
      </c>
      <c r="H348" s="208" t="str">
        <f>VLOOKUP($E348,'Master Food List'!master_food_list,4,FALSE)</f>
        <v>Pouch</v>
      </c>
    </row>
    <row r="349" spans="1:8" ht="51" x14ac:dyDescent="0.2">
      <c r="A349" s="208" t="s">
        <v>510</v>
      </c>
      <c r="B349" s="170">
        <v>20</v>
      </c>
      <c r="C349" s="168" t="s">
        <v>210</v>
      </c>
      <c r="D349" s="168" t="s">
        <v>460</v>
      </c>
      <c r="E349" s="193"/>
      <c r="F349" s="208" t="e">
        <f>VLOOKUP($E349,'Master Food List'!master_food_list,21,FALSE)</f>
        <v>#N/A</v>
      </c>
      <c r="G349" s="208" t="e">
        <f>VLOOKUP($E349,'Master Food List'!master_food_list,22,FALSE)</f>
        <v>#N/A</v>
      </c>
      <c r="H349" s="208" t="e">
        <f>VLOOKUP($E349,'Master Food List'!master_food_list,4,FALSE)</f>
        <v>#N/A</v>
      </c>
    </row>
    <row r="350" spans="1:8" ht="51" x14ac:dyDescent="0.2">
      <c r="A350" s="208" t="s">
        <v>510</v>
      </c>
      <c r="B350" s="170">
        <v>20</v>
      </c>
      <c r="C350" s="168" t="s">
        <v>210</v>
      </c>
      <c r="D350" s="168" t="s">
        <v>459</v>
      </c>
      <c r="E350" s="193" t="s">
        <v>347</v>
      </c>
      <c r="F350" s="208" t="str">
        <f>VLOOKUP($E350,'Master Food List'!master_food_list,21,FALSE)</f>
        <v>Thrive Life</v>
      </c>
      <c r="G350" s="208" t="str">
        <f>VLOOKUP($E350,'Master Food List'!master_food_list,22,FALSE)</f>
        <v>Thrive Life</v>
      </c>
      <c r="H350" s="208" t="str">
        <f>VLOOKUP($E350,'Master Food List'!master_food_list,4,FALSE)</f>
        <v>Pouch</v>
      </c>
    </row>
    <row r="351" spans="1:8" ht="51" x14ac:dyDescent="0.2">
      <c r="A351" s="208" t="s">
        <v>510</v>
      </c>
      <c r="B351" s="170">
        <v>20</v>
      </c>
      <c r="C351" s="168" t="s">
        <v>210</v>
      </c>
      <c r="D351" s="168" t="s">
        <v>458</v>
      </c>
      <c r="E351" s="193" t="s">
        <v>442</v>
      </c>
      <c r="F351" s="208" t="str">
        <f>VLOOKUP($E351,'Master Food List'!master_food_list,21,FALSE)</f>
        <v>Alpine Aire</v>
      </c>
      <c r="G351" s="208" t="str">
        <f>VLOOKUP($E351,'Master Food List'!master_food_list,22,FALSE)</f>
        <v>Alpine Aire</v>
      </c>
      <c r="H351" s="208" t="str">
        <f>VLOOKUP($E351,'Master Food List'!master_food_list,4,FALSE)</f>
        <v>Pouch</v>
      </c>
    </row>
    <row r="352" spans="1:8" ht="51" x14ac:dyDescent="0.2">
      <c r="A352" s="208" t="s">
        <v>510</v>
      </c>
      <c r="B352" s="170">
        <v>20</v>
      </c>
      <c r="C352" s="168" t="s">
        <v>210</v>
      </c>
      <c r="D352" s="168" t="s">
        <v>457</v>
      </c>
      <c r="E352" s="193" t="s">
        <v>479</v>
      </c>
      <c r="F352" s="208" t="str">
        <f>VLOOKUP($E352,'Master Food List'!master_food_list,21,FALSE)</f>
        <v>Justin's</v>
      </c>
      <c r="G352" s="208" t="str">
        <f>VLOOKUP($E352,'Master Food List'!master_food_list,22,FALSE)</f>
        <v>Amazon</v>
      </c>
      <c r="H352" s="208" t="str">
        <f>VLOOKUP($E352,'Master Food List'!master_food_list,4,FALSE)</f>
        <v>Jar</v>
      </c>
    </row>
    <row r="353" spans="1:8" ht="51" x14ac:dyDescent="0.2">
      <c r="A353" s="208" t="s">
        <v>510</v>
      </c>
      <c r="B353" s="170">
        <v>20</v>
      </c>
      <c r="C353" s="168" t="s">
        <v>210</v>
      </c>
      <c r="D353" s="168" t="s">
        <v>455</v>
      </c>
      <c r="E353" s="193" t="s">
        <v>313</v>
      </c>
      <c r="F353" s="208" t="str">
        <f>VLOOKUP($E353,'Master Food List'!master_food_list,21,FALSE)</f>
        <v>Mountain House</v>
      </c>
      <c r="G353" s="208" t="str">
        <f>VLOOKUP($E353,'Master Food List'!master_food_list,22,FALSE)</f>
        <v>Amazon</v>
      </c>
      <c r="H353" s="208" t="str">
        <f>VLOOKUP($E353,'Master Food List'!master_food_list,4,FALSE)</f>
        <v>12-pack</v>
      </c>
    </row>
    <row r="354" spans="1:8" ht="51" x14ac:dyDescent="0.2">
      <c r="A354" s="208" t="s">
        <v>510</v>
      </c>
      <c r="B354" s="163">
        <v>21</v>
      </c>
      <c r="C354" s="164" t="s">
        <v>456</v>
      </c>
      <c r="D354" s="164" t="s">
        <v>462</v>
      </c>
      <c r="E354" s="203" t="s">
        <v>498</v>
      </c>
      <c r="F354" s="208" t="str">
        <f>VLOOKUP($E354,'Master Food List'!master_food_list,21,FALSE)</f>
        <v>? &amp; Mountain House</v>
      </c>
      <c r="G354" s="208" t="str">
        <f>VLOOKUP($E354,'Master Food List'!master_food_list,22,FALSE)</f>
        <v>Acme &amp; Mountain House</v>
      </c>
      <c r="H354" s="208">
        <f>VLOOKUP($E354,'Master Food List'!master_food_list,4,FALSE)</f>
        <v>0</v>
      </c>
    </row>
    <row r="355" spans="1:8" ht="51" x14ac:dyDescent="0.2">
      <c r="A355" s="208" t="s">
        <v>510</v>
      </c>
      <c r="B355" s="163">
        <v>21</v>
      </c>
      <c r="C355" s="164" t="s">
        <v>456</v>
      </c>
      <c r="D355" s="164" t="s">
        <v>461</v>
      </c>
      <c r="E355" s="203" t="s">
        <v>481</v>
      </c>
      <c r="F355" s="208" t="str">
        <f>VLOOKUP($E355,'Master Food List'!master_food_list,21,FALSE)</f>
        <v>Kellog's</v>
      </c>
      <c r="G355" s="208" t="str">
        <f>VLOOKUP($E355,'Master Food List'!master_food_list,22,FALSE)</f>
        <v>Acme</v>
      </c>
      <c r="H355" s="208" t="str">
        <f>VLOOKUP($E355,'Master Food List'!master_food_list,4,FALSE)</f>
        <v>pkg</v>
      </c>
    </row>
    <row r="356" spans="1:8" ht="51" x14ac:dyDescent="0.2">
      <c r="A356" s="208" t="s">
        <v>510</v>
      </c>
      <c r="B356" s="163">
        <v>21</v>
      </c>
      <c r="C356" s="164" t="s">
        <v>456</v>
      </c>
      <c r="D356" s="164" t="s">
        <v>460</v>
      </c>
      <c r="E356" s="203" t="s">
        <v>495</v>
      </c>
      <c r="F356" s="208" t="str">
        <f>VLOOKUP($E356,'Master Food List'!master_food_list,21,FALSE)</f>
        <v>Starbucks &amp; Hoosier Hill Farm</v>
      </c>
      <c r="G356" s="208" t="str">
        <f>VLOOKUP($E356,'Master Food List'!master_food_list,22,FALSE)</f>
        <v>Amazon</v>
      </c>
      <c r="H356" s="208">
        <f>VLOOKUP($E356,'Master Food List'!master_food_list,4,FALSE)</f>
        <v>0</v>
      </c>
    </row>
    <row r="357" spans="1:8" ht="51" x14ac:dyDescent="0.2">
      <c r="A357" s="208" t="s">
        <v>510</v>
      </c>
      <c r="B357" s="163">
        <v>21</v>
      </c>
      <c r="C357" s="164" t="s">
        <v>456</v>
      </c>
      <c r="D357" s="164" t="s">
        <v>459</v>
      </c>
      <c r="E357" s="203" t="s">
        <v>347</v>
      </c>
      <c r="F357" s="208" t="str">
        <f>VLOOKUP($E357,'Master Food List'!master_food_list,21,FALSE)</f>
        <v>Thrive Life</v>
      </c>
      <c r="G357" s="208" t="str">
        <f>VLOOKUP($E357,'Master Food List'!master_food_list,22,FALSE)</f>
        <v>Thrive Life</v>
      </c>
      <c r="H357" s="208" t="str">
        <f>VLOOKUP($E357,'Master Food List'!master_food_list,4,FALSE)</f>
        <v>Pouch</v>
      </c>
    </row>
    <row r="358" spans="1:8" ht="51" x14ac:dyDescent="0.2">
      <c r="A358" s="208" t="s">
        <v>510</v>
      </c>
      <c r="B358" s="163">
        <v>21</v>
      </c>
      <c r="C358" s="164" t="s">
        <v>456</v>
      </c>
      <c r="D358" s="164" t="s">
        <v>458</v>
      </c>
      <c r="E358" s="203" t="s">
        <v>519</v>
      </c>
      <c r="F358" s="208" t="str">
        <f>VLOOKUP($E358,'Master Food List'!master_food_list,21,FALSE)</f>
        <v>Backpacker's Pantry</v>
      </c>
      <c r="G358" s="208" t="str">
        <f>VLOOKUP($E358,'Master Food List'!master_food_list,22,FALSE)</f>
        <v>Backpacker's Pantry</v>
      </c>
      <c r="H358" s="208" t="str">
        <f>VLOOKUP($E358,'Master Food List'!master_food_list,4,FALSE)</f>
        <v>Pouch</v>
      </c>
    </row>
    <row r="359" spans="1:8" ht="51" x14ac:dyDescent="0.2">
      <c r="A359" s="208" t="s">
        <v>510</v>
      </c>
      <c r="B359" s="163">
        <v>21</v>
      </c>
      <c r="C359" s="164" t="s">
        <v>456</v>
      </c>
      <c r="D359" s="164" t="s">
        <v>457</v>
      </c>
      <c r="E359" s="203"/>
      <c r="F359" s="208" t="e">
        <f>VLOOKUP($E359,'Master Food List'!master_food_list,21,FALSE)</f>
        <v>#N/A</v>
      </c>
      <c r="G359" s="208" t="e">
        <f>VLOOKUP($E359,'Master Food List'!master_food_list,22,FALSE)</f>
        <v>#N/A</v>
      </c>
      <c r="H359" s="208" t="e">
        <f>VLOOKUP($E359,'Master Food List'!master_food_list,4,FALSE)</f>
        <v>#N/A</v>
      </c>
    </row>
    <row r="360" spans="1:8" ht="51" x14ac:dyDescent="0.2">
      <c r="A360" s="208" t="s">
        <v>510</v>
      </c>
      <c r="B360" s="163">
        <v>21</v>
      </c>
      <c r="C360" s="164" t="s">
        <v>456</v>
      </c>
      <c r="D360" s="164" t="s">
        <v>455</v>
      </c>
      <c r="E360" s="203" t="s">
        <v>482</v>
      </c>
      <c r="F360" s="208" t="str">
        <f>VLOOKUP($E360,'Master Food List'!master_food_list,21,FALSE)</f>
        <v>Swiss Miss</v>
      </c>
      <c r="G360" s="208" t="str">
        <f>VLOOKUP($E360,'Master Food List'!master_food_list,22,FALSE)</f>
        <v>Amazon</v>
      </c>
      <c r="H360" s="208" t="str">
        <f>VLOOKUP($E360,'Master Food List'!master_food_list,4,FALSE)</f>
        <v>Pack of 3 boxes</v>
      </c>
    </row>
    <row r="361" spans="1:8" ht="51" x14ac:dyDescent="0.2">
      <c r="A361" s="208" t="s">
        <v>510</v>
      </c>
      <c r="B361" s="163">
        <v>22</v>
      </c>
      <c r="C361" s="164" t="s">
        <v>456</v>
      </c>
      <c r="D361" s="164" t="s">
        <v>462</v>
      </c>
      <c r="E361" s="203" t="s">
        <v>284</v>
      </c>
      <c r="F361" s="208" t="str">
        <f>VLOOKUP($E361,'Master Food List'!master_food_list,21,FALSE)</f>
        <v>Kellog's</v>
      </c>
      <c r="G361" s="208" t="str">
        <f>VLOOKUP($E361,'Master Food List'!master_food_list,22,FALSE)</f>
        <v>Acme</v>
      </c>
      <c r="H361" s="208" t="str">
        <f>VLOOKUP($E361,'Master Food List'!master_food_list,4,FALSE)</f>
        <v>pkg</v>
      </c>
    </row>
    <row r="362" spans="1:8" ht="51" x14ac:dyDescent="0.2">
      <c r="A362" s="208" t="s">
        <v>510</v>
      </c>
      <c r="B362" s="163">
        <v>22</v>
      </c>
      <c r="C362" s="164" t="s">
        <v>456</v>
      </c>
      <c r="D362" s="164" t="s">
        <v>461</v>
      </c>
      <c r="E362" s="203" t="s">
        <v>481</v>
      </c>
      <c r="F362" s="208" t="str">
        <f>VLOOKUP($E362,'Master Food List'!master_food_list,21,FALSE)</f>
        <v>Kellog's</v>
      </c>
      <c r="G362" s="208" t="str">
        <f>VLOOKUP($E362,'Master Food List'!master_food_list,22,FALSE)</f>
        <v>Acme</v>
      </c>
      <c r="H362" s="208" t="str">
        <f>VLOOKUP($E362,'Master Food List'!master_food_list,4,FALSE)</f>
        <v>pkg</v>
      </c>
    </row>
    <row r="363" spans="1:8" ht="51" x14ac:dyDescent="0.2">
      <c r="A363" s="208" t="s">
        <v>510</v>
      </c>
      <c r="B363" s="163">
        <v>22</v>
      </c>
      <c r="C363" s="164" t="s">
        <v>456</v>
      </c>
      <c r="D363" s="164" t="s">
        <v>460</v>
      </c>
      <c r="E363" s="203" t="s">
        <v>495</v>
      </c>
      <c r="F363" s="208" t="str">
        <f>VLOOKUP($E363,'Master Food List'!master_food_list,21,FALSE)</f>
        <v>Starbucks &amp; Hoosier Hill Farm</v>
      </c>
      <c r="G363" s="208" t="str">
        <f>VLOOKUP($E363,'Master Food List'!master_food_list,22,FALSE)</f>
        <v>Amazon</v>
      </c>
      <c r="H363" s="208">
        <f>VLOOKUP($E363,'Master Food List'!master_food_list,4,FALSE)</f>
        <v>0</v>
      </c>
    </row>
    <row r="364" spans="1:8" ht="51" x14ac:dyDescent="0.2">
      <c r="A364" s="208" t="s">
        <v>510</v>
      </c>
      <c r="B364" s="163">
        <v>22</v>
      </c>
      <c r="C364" s="164" t="s">
        <v>456</v>
      </c>
      <c r="D364" s="164" t="s">
        <v>459</v>
      </c>
      <c r="E364" s="203" t="s">
        <v>347</v>
      </c>
      <c r="F364" s="208" t="str">
        <f>VLOOKUP($E364,'Master Food List'!master_food_list,21,FALSE)</f>
        <v>Thrive Life</v>
      </c>
      <c r="G364" s="208" t="str">
        <f>VLOOKUP($E364,'Master Food List'!master_food_list,22,FALSE)</f>
        <v>Thrive Life</v>
      </c>
      <c r="H364" s="208" t="str">
        <f>VLOOKUP($E364,'Master Food List'!master_food_list,4,FALSE)</f>
        <v>Pouch</v>
      </c>
    </row>
    <row r="365" spans="1:8" ht="51" x14ac:dyDescent="0.2">
      <c r="A365" s="208" t="s">
        <v>510</v>
      </c>
      <c r="B365" s="163">
        <v>22</v>
      </c>
      <c r="C365" s="164" t="s">
        <v>456</v>
      </c>
      <c r="D365" s="164" t="s">
        <v>458</v>
      </c>
      <c r="E365" s="203" t="s">
        <v>486</v>
      </c>
      <c r="F365" s="208" t="str">
        <f>VLOOKUP($E365,'Master Food List'!master_food_list,21,FALSE)</f>
        <v>Backpacker's Pantry</v>
      </c>
      <c r="G365" s="208" t="str">
        <f>VLOOKUP($E365,'Master Food List'!master_food_list,22,FALSE)</f>
        <v>Backpacker's Pantry</v>
      </c>
      <c r="H365" s="208" t="str">
        <f>VLOOKUP($E365,'Master Food List'!master_food_list,4,FALSE)</f>
        <v>Pouch</v>
      </c>
    </row>
    <row r="366" spans="1:8" ht="51" x14ac:dyDescent="0.2">
      <c r="A366" s="208" t="s">
        <v>510</v>
      </c>
      <c r="B366" s="163">
        <v>22</v>
      </c>
      <c r="C366" s="164" t="s">
        <v>456</v>
      </c>
      <c r="D366" s="164" t="s">
        <v>457</v>
      </c>
      <c r="E366" s="203"/>
      <c r="F366" s="208" t="e">
        <f>VLOOKUP($E366,'Master Food List'!master_food_list,21,FALSE)</f>
        <v>#N/A</v>
      </c>
      <c r="G366" s="208" t="e">
        <f>VLOOKUP($E366,'Master Food List'!master_food_list,22,FALSE)</f>
        <v>#N/A</v>
      </c>
      <c r="H366" s="208" t="e">
        <f>VLOOKUP($E366,'Master Food List'!master_food_list,4,FALSE)</f>
        <v>#N/A</v>
      </c>
    </row>
    <row r="367" spans="1:8" ht="51" x14ac:dyDescent="0.2">
      <c r="A367" s="208" t="s">
        <v>510</v>
      </c>
      <c r="B367" s="163">
        <v>22</v>
      </c>
      <c r="C367" s="164" t="s">
        <v>456</v>
      </c>
      <c r="D367" s="164" t="s">
        <v>455</v>
      </c>
      <c r="E367" s="203" t="s">
        <v>484</v>
      </c>
      <c r="F367" s="208" t="str">
        <f>VLOOKUP($E367,'Master Food List'!master_food_list,21,FALSE)</f>
        <v>Backpacker's Pantry</v>
      </c>
      <c r="G367" s="208" t="str">
        <f>VLOOKUP($E367,'Master Food List'!master_food_list,22,FALSE)</f>
        <v>Backpacker's Pantry</v>
      </c>
      <c r="H367" s="208" t="str">
        <f>VLOOKUP($E367,'Master Food List'!master_food_list,4,FALSE)</f>
        <v>Pouch</v>
      </c>
    </row>
    <row r="368" spans="1:8" ht="51" x14ac:dyDescent="0.2">
      <c r="A368" s="208" t="s">
        <v>510</v>
      </c>
      <c r="B368" s="171">
        <v>23</v>
      </c>
      <c r="C368" s="188" t="s">
        <v>456</v>
      </c>
      <c r="D368" s="188" t="s">
        <v>462</v>
      </c>
      <c r="E368" s="205" t="s">
        <v>480</v>
      </c>
      <c r="F368" s="208" t="str">
        <f>VLOOKUP($E368,'Master Food List'!master_food_list,21,FALSE)</f>
        <v>Backpacker's Pantry</v>
      </c>
      <c r="G368" s="208" t="str">
        <f>VLOOKUP($E368,'Master Food List'!master_food_list,22,FALSE)</f>
        <v>Backpacker's Pantry</v>
      </c>
      <c r="H368" s="208" t="str">
        <f>VLOOKUP($E368,'Master Food List'!master_food_list,4,FALSE)</f>
        <v>Pouch</v>
      </c>
    </row>
    <row r="369" spans="1:8" ht="51" x14ac:dyDescent="0.2">
      <c r="A369" s="208" t="s">
        <v>510</v>
      </c>
      <c r="B369" s="171">
        <v>23</v>
      </c>
      <c r="C369" s="188" t="s">
        <v>456</v>
      </c>
      <c r="D369" s="188" t="s">
        <v>461</v>
      </c>
      <c r="E369" s="205" t="s">
        <v>347</v>
      </c>
      <c r="F369" s="208" t="str">
        <f>VLOOKUP($E369,'Master Food List'!master_food_list,21,FALSE)</f>
        <v>Thrive Life</v>
      </c>
      <c r="G369" s="208" t="str">
        <f>VLOOKUP($E369,'Master Food List'!master_food_list,22,FALSE)</f>
        <v>Thrive Life</v>
      </c>
      <c r="H369" s="208" t="str">
        <f>VLOOKUP($E369,'Master Food List'!master_food_list,4,FALSE)</f>
        <v>Pouch</v>
      </c>
    </row>
    <row r="370" spans="1:8" ht="51" x14ac:dyDescent="0.2">
      <c r="A370" s="208" t="s">
        <v>510</v>
      </c>
      <c r="B370" s="171">
        <v>23</v>
      </c>
      <c r="C370" s="188" t="s">
        <v>456</v>
      </c>
      <c r="D370" s="188" t="s">
        <v>460</v>
      </c>
      <c r="E370" s="205"/>
      <c r="F370" s="208" t="e">
        <f>VLOOKUP($E370,'Master Food List'!master_food_list,21,FALSE)</f>
        <v>#N/A</v>
      </c>
      <c r="G370" s="208" t="e">
        <f>VLOOKUP($E370,'Master Food List'!master_food_list,22,FALSE)</f>
        <v>#N/A</v>
      </c>
      <c r="H370" s="208" t="e">
        <f>VLOOKUP($E370,'Master Food List'!master_food_list,4,FALSE)</f>
        <v>#N/A</v>
      </c>
    </row>
    <row r="371" spans="1:8" ht="51" x14ac:dyDescent="0.2">
      <c r="A371" s="208" t="s">
        <v>510</v>
      </c>
      <c r="B371" s="171">
        <v>23</v>
      </c>
      <c r="C371" s="188" t="s">
        <v>456</v>
      </c>
      <c r="D371" s="188" t="s">
        <v>459</v>
      </c>
      <c r="E371" s="205" t="s">
        <v>430</v>
      </c>
      <c r="F371" s="208" t="str">
        <f>VLOOKUP($E371,'Master Food List'!master_food_list,21,FALSE)</f>
        <v>Alpine Aire</v>
      </c>
      <c r="G371" s="208" t="str">
        <f>VLOOKUP($E371,'Master Food List'!master_food_list,22,FALSE)</f>
        <v>Alpine Aire</v>
      </c>
      <c r="H371" s="208" t="str">
        <f>VLOOKUP($E371,'Master Food List'!master_food_list,4,FALSE)</f>
        <v>Pouch</v>
      </c>
    </row>
    <row r="372" spans="1:8" ht="51" x14ac:dyDescent="0.2">
      <c r="A372" s="208" t="s">
        <v>510</v>
      </c>
      <c r="B372" s="171">
        <v>23</v>
      </c>
      <c r="C372" s="188" t="s">
        <v>456</v>
      </c>
      <c r="D372" s="188" t="s">
        <v>458</v>
      </c>
      <c r="E372" s="205" t="s">
        <v>409</v>
      </c>
      <c r="F372" s="208" t="str">
        <f>VLOOKUP($E372,'Master Food List'!master_food_list,21,FALSE)</f>
        <v>Backpacker's Pantry</v>
      </c>
      <c r="G372" s="208" t="str">
        <f>VLOOKUP($E372,'Master Food List'!master_food_list,22,FALSE)</f>
        <v>Amazon</v>
      </c>
      <c r="H372" s="208" t="str">
        <f>VLOOKUP($E372,'Master Food List'!master_food_list,4,FALSE)</f>
        <v>#10 Can*</v>
      </c>
    </row>
    <row r="373" spans="1:8" ht="51" x14ac:dyDescent="0.2">
      <c r="A373" s="208" t="s">
        <v>510</v>
      </c>
      <c r="B373" s="171">
        <v>23</v>
      </c>
      <c r="C373" s="188" t="s">
        <v>456</v>
      </c>
      <c r="D373" s="188" t="s">
        <v>457</v>
      </c>
      <c r="E373" s="205" t="s">
        <v>479</v>
      </c>
      <c r="F373" s="208" t="str">
        <f>VLOOKUP($E373,'Master Food List'!master_food_list,21,FALSE)</f>
        <v>Justin's</v>
      </c>
      <c r="G373" s="208" t="str">
        <f>VLOOKUP($E373,'Master Food List'!master_food_list,22,FALSE)</f>
        <v>Amazon</v>
      </c>
      <c r="H373" s="208" t="str">
        <f>VLOOKUP($E373,'Master Food List'!master_food_list,4,FALSE)</f>
        <v>Jar</v>
      </c>
    </row>
    <row r="374" spans="1:8" ht="51" x14ac:dyDescent="0.2">
      <c r="A374" s="208" t="s">
        <v>510</v>
      </c>
      <c r="B374" s="171">
        <v>23</v>
      </c>
      <c r="C374" s="188" t="s">
        <v>456</v>
      </c>
      <c r="D374" s="188" t="s">
        <v>455</v>
      </c>
      <c r="E374" s="205" t="s">
        <v>483</v>
      </c>
      <c r="F374" s="208" t="str">
        <f>VLOOKUP($E374,'Master Food List'!master_food_list,21,FALSE)</f>
        <v>M &amp; M</v>
      </c>
      <c r="G374" s="208" t="str">
        <f>VLOOKUP($E374,'Master Food List'!master_food_list,22,FALSE)</f>
        <v>Acme</v>
      </c>
      <c r="H374" s="208" t="str">
        <f>VLOOKUP($E374,'Master Food List'!master_food_list,4,FALSE)</f>
        <v>2lb 10oz Bag</v>
      </c>
    </row>
    <row r="375" spans="1:8" ht="51" x14ac:dyDescent="0.2">
      <c r="A375" s="208" t="s">
        <v>510</v>
      </c>
      <c r="B375" s="170">
        <v>24</v>
      </c>
      <c r="C375" s="168" t="s">
        <v>456</v>
      </c>
      <c r="D375" s="168" t="s">
        <v>462</v>
      </c>
      <c r="E375" s="193" t="s">
        <v>480</v>
      </c>
      <c r="F375" s="208" t="str">
        <f>VLOOKUP($E375,'Master Food List'!master_food_list,21,FALSE)</f>
        <v>Backpacker's Pantry</v>
      </c>
      <c r="G375" s="208" t="str">
        <f>VLOOKUP($E375,'Master Food List'!master_food_list,22,FALSE)</f>
        <v>Backpacker's Pantry</v>
      </c>
      <c r="H375" s="208" t="str">
        <f>VLOOKUP($E375,'Master Food List'!master_food_list,4,FALSE)</f>
        <v>Pouch</v>
      </c>
    </row>
    <row r="376" spans="1:8" ht="51" x14ac:dyDescent="0.2">
      <c r="A376" s="208" t="s">
        <v>510</v>
      </c>
      <c r="B376" s="170">
        <v>24</v>
      </c>
      <c r="C376" s="168" t="s">
        <v>456</v>
      </c>
      <c r="D376" s="168" t="s">
        <v>461</v>
      </c>
      <c r="E376" s="193" t="s">
        <v>427</v>
      </c>
      <c r="F376" s="208" t="str">
        <f>VLOOKUP($E376,'Master Food List'!master_food_list,21,FALSE)</f>
        <v>Nut Harvest</v>
      </c>
      <c r="G376" s="208" t="str">
        <f>VLOOKUP($E376,'Master Food List'!master_food_list,22,FALSE)</f>
        <v>Amazon</v>
      </c>
      <c r="H376" s="208" t="str">
        <f>VLOOKUP($E376,'Master Food List'!master_food_list,4,FALSE)</f>
        <v>Jar</v>
      </c>
    </row>
    <row r="377" spans="1:8" ht="51" x14ac:dyDescent="0.2">
      <c r="A377" s="208" t="s">
        <v>510</v>
      </c>
      <c r="B377" s="170">
        <v>24</v>
      </c>
      <c r="C377" s="168" t="s">
        <v>456</v>
      </c>
      <c r="D377" s="168" t="s">
        <v>460</v>
      </c>
      <c r="E377" s="193"/>
      <c r="F377" s="208" t="e">
        <f>VLOOKUP($E377,'Master Food List'!master_food_list,21,FALSE)</f>
        <v>#N/A</v>
      </c>
      <c r="G377" s="208" t="e">
        <f>VLOOKUP($E377,'Master Food List'!master_food_list,22,FALSE)</f>
        <v>#N/A</v>
      </c>
      <c r="H377" s="208" t="e">
        <f>VLOOKUP($E377,'Master Food List'!master_food_list,4,FALSE)</f>
        <v>#N/A</v>
      </c>
    </row>
    <row r="378" spans="1:8" ht="51" x14ac:dyDescent="0.2">
      <c r="A378" s="208" t="s">
        <v>510</v>
      </c>
      <c r="B378" s="170">
        <v>24</v>
      </c>
      <c r="C378" s="168" t="s">
        <v>456</v>
      </c>
      <c r="D378" s="168" t="s">
        <v>459</v>
      </c>
      <c r="E378" s="193" t="s">
        <v>414</v>
      </c>
      <c r="F378" s="208" t="str">
        <f>VLOOKUP($E378,'Master Food List'!master_food_list,21,FALSE)</f>
        <v>Snickers</v>
      </c>
      <c r="G378" s="208" t="str">
        <f>VLOOKUP($E378,'Master Food List'!master_food_list,22,FALSE)</f>
        <v>Acme</v>
      </c>
      <c r="H378" s="208" t="str">
        <f>VLOOKUP($E378,'Master Food List'!master_food_list,4,FALSE)</f>
        <v>Bar</v>
      </c>
    </row>
    <row r="379" spans="1:8" ht="51" x14ac:dyDescent="0.2">
      <c r="A379" s="208" t="s">
        <v>510</v>
      </c>
      <c r="B379" s="170">
        <v>24</v>
      </c>
      <c r="C379" s="168" t="s">
        <v>456</v>
      </c>
      <c r="D379" s="168" t="s">
        <v>458</v>
      </c>
      <c r="E379" s="193" t="s">
        <v>491</v>
      </c>
      <c r="F379" s="208" t="str">
        <f>VLOOKUP($E379,'Master Food List'!master_food_list,21,FALSE)</f>
        <v>Mountain House</v>
      </c>
      <c r="G379" s="208" t="str">
        <f>VLOOKUP($E379,'Master Food List'!master_food_list,22,FALSE)</f>
        <v>Amazon</v>
      </c>
      <c r="H379" s="208" t="str">
        <f>VLOOKUP($E379,'Master Food List'!master_food_list,4,FALSE)</f>
        <v>Pouch</v>
      </c>
    </row>
    <row r="380" spans="1:8" ht="51" x14ac:dyDescent="0.2">
      <c r="A380" s="208" t="s">
        <v>510</v>
      </c>
      <c r="B380" s="170">
        <v>24</v>
      </c>
      <c r="C380" s="168" t="s">
        <v>456</v>
      </c>
      <c r="D380" s="168" t="s">
        <v>457</v>
      </c>
      <c r="E380" s="193" t="s">
        <v>479</v>
      </c>
      <c r="F380" s="208" t="str">
        <f>VLOOKUP($E380,'Master Food List'!master_food_list,21,FALSE)</f>
        <v>Justin's</v>
      </c>
      <c r="G380" s="208" t="str">
        <f>VLOOKUP($E380,'Master Food List'!master_food_list,22,FALSE)</f>
        <v>Amazon</v>
      </c>
      <c r="H380" s="208" t="str">
        <f>VLOOKUP($E380,'Master Food List'!master_food_list,4,FALSE)</f>
        <v>Jar</v>
      </c>
    </row>
    <row r="381" spans="1:8" ht="51" x14ac:dyDescent="0.2">
      <c r="A381" s="208" t="s">
        <v>510</v>
      </c>
      <c r="B381" s="170">
        <v>24</v>
      </c>
      <c r="C381" s="168" t="s">
        <v>456</v>
      </c>
      <c r="D381" s="168" t="s">
        <v>455</v>
      </c>
      <c r="E381" s="193" t="s">
        <v>482</v>
      </c>
      <c r="F381" s="208" t="str">
        <f>VLOOKUP($E381,'Master Food List'!master_food_list,21,FALSE)</f>
        <v>Swiss Miss</v>
      </c>
      <c r="G381" s="208" t="str">
        <f>VLOOKUP($E381,'Master Food List'!master_food_list,22,FALSE)</f>
        <v>Amazon</v>
      </c>
      <c r="H381" s="208" t="str">
        <f>VLOOKUP($E381,'Master Food List'!master_food_list,4,FALSE)</f>
        <v>Pack of 3 boxes</v>
      </c>
    </row>
    <row r="382" spans="1:8" ht="51" x14ac:dyDescent="0.2">
      <c r="A382" s="208" t="s">
        <v>510</v>
      </c>
      <c r="B382" s="170">
        <v>25</v>
      </c>
      <c r="C382" s="168" t="s">
        <v>456</v>
      </c>
      <c r="D382" s="168" t="s">
        <v>462</v>
      </c>
      <c r="E382" s="193" t="s">
        <v>485</v>
      </c>
      <c r="F382" s="208" t="str">
        <f>VLOOKUP($E382,'Master Food List'!master_food_list,21,FALSE)</f>
        <v>Mountain House</v>
      </c>
      <c r="G382" s="208" t="str">
        <f>VLOOKUP($E382,'Master Food List'!master_food_list,22,FALSE)</f>
        <v>Amazon</v>
      </c>
      <c r="H382" s="208" t="str">
        <f>VLOOKUP($E382,'Master Food List'!master_food_list,4,FALSE)</f>
        <v>#10 Can*</v>
      </c>
    </row>
    <row r="383" spans="1:8" ht="51" x14ac:dyDescent="0.2">
      <c r="A383" s="208" t="s">
        <v>510</v>
      </c>
      <c r="B383" s="170">
        <v>25</v>
      </c>
      <c r="C383" s="168" t="s">
        <v>456</v>
      </c>
      <c r="D383" s="168" t="s">
        <v>461</v>
      </c>
      <c r="E383" s="193" t="s">
        <v>489</v>
      </c>
      <c r="F383" s="208" t="str">
        <f>VLOOKUP($E383,'Master Food List'!master_food_list,21,FALSE)</f>
        <v>Krave</v>
      </c>
      <c r="G383" s="208" t="str">
        <f>VLOOKUP($E383,'Master Food List'!master_food_list,22,FALSE)</f>
        <v>Amazon</v>
      </c>
      <c r="H383" s="208" t="str">
        <f>VLOOKUP($E383,'Master Food List'!master_food_list,4,FALSE)</f>
        <v>Pack of 8</v>
      </c>
    </row>
    <row r="384" spans="1:8" ht="51" x14ac:dyDescent="0.2">
      <c r="A384" s="208" t="s">
        <v>510</v>
      </c>
      <c r="B384" s="170">
        <v>25</v>
      </c>
      <c r="C384" s="168" t="s">
        <v>456</v>
      </c>
      <c r="D384" s="168" t="s">
        <v>460</v>
      </c>
      <c r="E384" s="193"/>
      <c r="F384" s="208" t="e">
        <f>VLOOKUP($E384,'Master Food List'!master_food_list,21,FALSE)</f>
        <v>#N/A</v>
      </c>
      <c r="G384" s="208" t="e">
        <f>VLOOKUP($E384,'Master Food List'!master_food_list,22,FALSE)</f>
        <v>#N/A</v>
      </c>
      <c r="H384" s="208" t="e">
        <f>VLOOKUP($E384,'Master Food List'!master_food_list,4,FALSE)</f>
        <v>#N/A</v>
      </c>
    </row>
    <row r="385" spans="1:8" ht="51" x14ac:dyDescent="0.2">
      <c r="A385" s="208" t="s">
        <v>510</v>
      </c>
      <c r="B385" s="170">
        <v>25</v>
      </c>
      <c r="C385" s="168" t="s">
        <v>456</v>
      </c>
      <c r="D385" s="168" t="s">
        <v>459</v>
      </c>
      <c r="E385" s="193" t="s">
        <v>433</v>
      </c>
      <c r="F385" s="208" t="str">
        <f>VLOOKUP($E385,'Master Food List'!master_food_list,21,FALSE)</f>
        <v>Alpine Aire</v>
      </c>
      <c r="G385" s="208" t="str">
        <f>VLOOKUP($E385,'Master Food List'!master_food_list,22,FALSE)</f>
        <v>Alpine Aire</v>
      </c>
      <c r="H385" s="208" t="str">
        <f>VLOOKUP($E385,'Master Food List'!master_food_list,4,FALSE)</f>
        <v>Pouch</v>
      </c>
    </row>
    <row r="386" spans="1:8" ht="51" x14ac:dyDescent="0.2">
      <c r="A386" s="208" t="s">
        <v>510</v>
      </c>
      <c r="B386" s="170">
        <v>25</v>
      </c>
      <c r="C386" s="168" t="s">
        <v>456</v>
      </c>
      <c r="D386" s="168" t="s">
        <v>458</v>
      </c>
      <c r="E386" s="193" t="s">
        <v>294</v>
      </c>
      <c r="F386" s="208" t="str">
        <f>VLOOKUP($E386,'Master Food List'!master_food_list,21,FALSE)</f>
        <v>Mountain House</v>
      </c>
      <c r="G386" s="208" t="str">
        <f>VLOOKUP($E386,'Master Food List'!master_food_list,22,FALSE)</f>
        <v>Amazon</v>
      </c>
      <c r="H386" s="208" t="str">
        <f>VLOOKUP($E386,'Master Food List'!master_food_list,4,FALSE)</f>
        <v>#10 Can*</v>
      </c>
    </row>
    <row r="387" spans="1:8" ht="51" x14ac:dyDescent="0.2">
      <c r="A387" s="208" t="s">
        <v>510</v>
      </c>
      <c r="B387" s="170">
        <v>25</v>
      </c>
      <c r="C387" s="168" t="s">
        <v>456</v>
      </c>
      <c r="D387" s="168" t="s">
        <v>457</v>
      </c>
      <c r="E387" s="193" t="s">
        <v>479</v>
      </c>
      <c r="F387" s="208" t="str">
        <f>VLOOKUP($E387,'Master Food List'!master_food_list,21,FALSE)</f>
        <v>Justin's</v>
      </c>
      <c r="G387" s="208" t="str">
        <f>VLOOKUP($E387,'Master Food List'!master_food_list,22,FALSE)</f>
        <v>Amazon</v>
      </c>
      <c r="H387" s="208" t="str">
        <f>VLOOKUP($E387,'Master Food List'!master_food_list,4,FALSE)</f>
        <v>Jar</v>
      </c>
    </row>
    <row r="388" spans="1:8" ht="51" x14ac:dyDescent="0.2">
      <c r="A388" s="208" t="s">
        <v>510</v>
      </c>
      <c r="B388" s="170">
        <v>25</v>
      </c>
      <c r="C388" s="168" t="s">
        <v>456</v>
      </c>
      <c r="D388" s="168" t="s">
        <v>455</v>
      </c>
      <c r="E388" s="193" t="s">
        <v>482</v>
      </c>
      <c r="F388" s="208" t="str">
        <f>VLOOKUP($E388,'Master Food List'!master_food_list,21,FALSE)</f>
        <v>Swiss Miss</v>
      </c>
      <c r="G388" s="208" t="str">
        <f>VLOOKUP($E388,'Master Food List'!master_food_list,22,FALSE)</f>
        <v>Amazon</v>
      </c>
      <c r="H388" s="208" t="str">
        <f>VLOOKUP($E388,'Master Food List'!master_food_list,4,FALSE)</f>
        <v>Pack of 3 boxes</v>
      </c>
    </row>
    <row r="389" spans="1:8" ht="51" x14ac:dyDescent="0.2">
      <c r="A389" s="208" t="s">
        <v>510</v>
      </c>
      <c r="B389" s="170">
        <v>26</v>
      </c>
      <c r="C389" s="168" t="s">
        <v>456</v>
      </c>
      <c r="D389" s="168" t="s">
        <v>462</v>
      </c>
      <c r="E389" s="193" t="s">
        <v>414</v>
      </c>
      <c r="F389" s="208" t="str">
        <f>VLOOKUP($E389,'Master Food List'!master_food_list,21,FALSE)</f>
        <v>Snickers</v>
      </c>
      <c r="G389" s="208" t="str">
        <f>VLOOKUP($E389,'Master Food List'!master_food_list,22,FALSE)</f>
        <v>Acme</v>
      </c>
      <c r="H389" s="208" t="str">
        <f>VLOOKUP($E389,'Master Food List'!master_food_list,4,FALSE)</f>
        <v>Bar</v>
      </c>
    </row>
    <row r="390" spans="1:8" ht="51" x14ac:dyDescent="0.2">
      <c r="A390" s="208" t="s">
        <v>510</v>
      </c>
      <c r="B390" s="170">
        <v>26</v>
      </c>
      <c r="C390" s="168" t="s">
        <v>456</v>
      </c>
      <c r="D390" s="168" t="s">
        <v>461</v>
      </c>
      <c r="E390" s="193" t="s">
        <v>427</v>
      </c>
      <c r="F390" s="208" t="str">
        <f>VLOOKUP($E390,'Master Food List'!master_food_list,21,FALSE)</f>
        <v>Nut Harvest</v>
      </c>
      <c r="G390" s="208" t="str">
        <f>VLOOKUP($E390,'Master Food List'!master_food_list,22,FALSE)</f>
        <v>Amazon</v>
      </c>
      <c r="H390" s="208" t="str">
        <f>VLOOKUP($E390,'Master Food List'!master_food_list,4,FALSE)</f>
        <v>Jar</v>
      </c>
    </row>
    <row r="391" spans="1:8" ht="51" x14ac:dyDescent="0.2">
      <c r="A391" s="208" t="s">
        <v>510</v>
      </c>
      <c r="B391" s="170">
        <v>26</v>
      </c>
      <c r="C391" s="168" t="s">
        <v>456</v>
      </c>
      <c r="D391" s="168" t="s">
        <v>460</v>
      </c>
      <c r="E391" s="193"/>
      <c r="F391" s="208" t="e">
        <f>VLOOKUP($E391,'Master Food List'!master_food_list,21,FALSE)</f>
        <v>#N/A</v>
      </c>
      <c r="G391" s="208" t="e">
        <f>VLOOKUP($E391,'Master Food List'!master_food_list,22,FALSE)</f>
        <v>#N/A</v>
      </c>
      <c r="H391" s="208" t="e">
        <f>VLOOKUP($E391,'Master Food List'!master_food_list,4,FALSE)</f>
        <v>#N/A</v>
      </c>
    </row>
    <row r="392" spans="1:8" ht="51" x14ac:dyDescent="0.2">
      <c r="A392" s="208" t="s">
        <v>510</v>
      </c>
      <c r="B392" s="170">
        <v>26</v>
      </c>
      <c r="C392" s="168" t="s">
        <v>456</v>
      </c>
      <c r="D392" s="168" t="s">
        <v>459</v>
      </c>
      <c r="E392" s="193" t="s">
        <v>430</v>
      </c>
      <c r="F392" s="208" t="str">
        <f>VLOOKUP($E392,'Master Food List'!master_food_list,21,FALSE)</f>
        <v>Alpine Aire</v>
      </c>
      <c r="G392" s="208" t="str">
        <f>VLOOKUP($E392,'Master Food List'!master_food_list,22,FALSE)</f>
        <v>Alpine Aire</v>
      </c>
      <c r="H392" s="208" t="str">
        <f>VLOOKUP($E392,'Master Food List'!master_food_list,4,FALSE)</f>
        <v>Pouch</v>
      </c>
    </row>
    <row r="393" spans="1:8" ht="51" x14ac:dyDescent="0.2">
      <c r="A393" s="208" t="s">
        <v>510</v>
      </c>
      <c r="B393" s="170">
        <v>26</v>
      </c>
      <c r="C393" s="168" t="s">
        <v>456</v>
      </c>
      <c r="D393" s="168" t="s">
        <v>458</v>
      </c>
      <c r="E393" s="193" t="s">
        <v>492</v>
      </c>
      <c r="F393" s="208" t="str">
        <f>VLOOKUP($E393,'Master Food List'!master_food_list,21,FALSE)</f>
        <v>Mountain House</v>
      </c>
      <c r="G393" s="208" t="str">
        <f>VLOOKUP($E393,'Master Food List'!master_food_list,22,FALSE)</f>
        <v>Amazon</v>
      </c>
      <c r="H393" s="208" t="str">
        <f>VLOOKUP($E393,'Master Food List'!master_food_list,4,FALSE)</f>
        <v>6-Pack</v>
      </c>
    </row>
    <row r="394" spans="1:8" ht="51" x14ac:dyDescent="0.2">
      <c r="A394" s="208" t="s">
        <v>510</v>
      </c>
      <c r="B394" s="170">
        <v>26</v>
      </c>
      <c r="C394" s="168" t="s">
        <v>456</v>
      </c>
      <c r="D394" s="168" t="s">
        <v>457</v>
      </c>
      <c r="E394" s="193" t="s">
        <v>479</v>
      </c>
      <c r="F394" s="208" t="str">
        <f>VLOOKUP($E394,'Master Food List'!master_food_list,21,FALSE)</f>
        <v>Justin's</v>
      </c>
      <c r="G394" s="208" t="str">
        <f>VLOOKUP($E394,'Master Food List'!master_food_list,22,FALSE)</f>
        <v>Amazon</v>
      </c>
      <c r="H394" s="208" t="str">
        <f>VLOOKUP($E394,'Master Food List'!master_food_list,4,FALSE)</f>
        <v>Jar</v>
      </c>
    </row>
    <row r="395" spans="1:8" ht="51" x14ac:dyDescent="0.2">
      <c r="A395" s="208" t="s">
        <v>510</v>
      </c>
      <c r="B395" s="170">
        <v>26</v>
      </c>
      <c r="C395" s="168" t="s">
        <v>456</v>
      </c>
      <c r="D395" s="168" t="s">
        <v>455</v>
      </c>
      <c r="E395" s="193" t="s">
        <v>478</v>
      </c>
      <c r="F395" s="208" t="str">
        <f>VLOOKUP($E395,'Master Food List'!master_food_list,21,FALSE)</f>
        <v>Mountain House</v>
      </c>
      <c r="G395" s="208" t="str">
        <f>VLOOKUP($E395,'Master Food List'!master_food_list,22,FALSE)</f>
        <v>Amazon</v>
      </c>
      <c r="H395" s="208" t="str">
        <f>VLOOKUP($E395,'Master Food List'!master_food_list,4,FALSE)</f>
        <v>6-Pack</v>
      </c>
    </row>
    <row r="396" spans="1:8" ht="51" x14ac:dyDescent="0.2">
      <c r="A396" s="208" t="s">
        <v>510</v>
      </c>
      <c r="B396" s="170">
        <v>27</v>
      </c>
      <c r="C396" s="168" t="s">
        <v>456</v>
      </c>
      <c r="D396" s="168" t="s">
        <v>462</v>
      </c>
      <c r="E396" s="193" t="s">
        <v>480</v>
      </c>
      <c r="F396" s="208" t="str">
        <f>VLOOKUP($E396,'Master Food List'!master_food_list,21,FALSE)</f>
        <v>Backpacker's Pantry</v>
      </c>
      <c r="G396" s="208" t="str">
        <f>VLOOKUP($E396,'Master Food List'!master_food_list,22,FALSE)</f>
        <v>Backpacker's Pantry</v>
      </c>
      <c r="H396" s="208" t="str">
        <f>VLOOKUP($E396,'Master Food List'!master_food_list,4,FALSE)</f>
        <v>Pouch</v>
      </c>
    </row>
    <row r="397" spans="1:8" ht="51" x14ac:dyDescent="0.2">
      <c r="A397" s="208" t="s">
        <v>510</v>
      </c>
      <c r="B397" s="170">
        <v>27</v>
      </c>
      <c r="C397" s="168" t="s">
        <v>456</v>
      </c>
      <c r="D397" s="168" t="s">
        <v>461</v>
      </c>
      <c r="E397" s="193" t="s">
        <v>327</v>
      </c>
      <c r="F397" s="208" t="str">
        <f>VLOOKUP($E397,'Master Food List'!master_food_list,21,FALSE)</f>
        <v>Epic</v>
      </c>
      <c r="G397" s="208" t="str">
        <f>VLOOKUP($E397,'Master Food List'!master_food_list,22,FALSE)</f>
        <v>Amazon</v>
      </c>
      <c r="H397" s="208" t="str">
        <f>VLOOKUP($E397,'Master Food List'!master_food_list,4,FALSE)</f>
        <v>Pack of 12</v>
      </c>
    </row>
    <row r="398" spans="1:8" ht="51" x14ac:dyDescent="0.2">
      <c r="A398" s="208" t="s">
        <v>510</v>
      </c>
      <c r="B398" s="170">
        <v>27</v>
      </c>
      <c r="C398" s="168" t="s">
        <v>456</v>
      </c>
      <c r="D398" s="168" t="s">
        <v>460</v>
      </c>
      <c r="E398" s="193"/>
      <c r="F398" s="208" t="e">
        <f>VLOOKUP($E398,'Master Food List'!master_food_list,21,FALSE)</f>
        <v>#N/A</v>
      </c>
      <c r="G398" s="208" t="e">
        <f>VLOOKUP($E398,'Master Food List'!master_food_list,22,FALSE)</f>
        <v>#N/A</v>
      </c>
      <c r="H398" s="208" t="e">
        <f>VLOOKUP($E398,'Master Food List'!master_food_list,4,FALSE)</f>
        <v>#N/A</v>
      </c>
    </row>
    <row r="399" spans="1:8" ht="51" x14ac:dyDescent="0.2">
      <c r="A399" s="208" t="s">
        <v>510</v>
      </c>
      <c r="B399" s="170">
        <v>27</v>
      </c>
      <c r="C399" s="168" t="s">
        <v>456</v>
      </c>
      <c r="D399" s="168" t="s">
        <v>459</v>
      </c>
      <c r="E399" s="193" t="s">
        <v>397</v>
      </c>
      <c r="F399" s="208" t="str">
        <f>VLOOKUP($E399,'Master Food List'!master_food_list,21,FALSE)</f>
        <v>Clif</v>
      </c>
      <c r="G399" s="208" t="str">
        <f>VLOOKUP($E399,'Master Food List'!master_food_list,22,FALSE)</f>
        <v>Acme</v>
      </c>
      <c r="H399" s="208" t="str">
        <f>VLOOKUP($E399,'Master Food List'!master_food_list,4,FALSE)</f>
        <v>Bar</v>
      </c>
    </row>
    <row r="400" spans="1:8" ht="51" x14ac:dyDescent="0.2">
      <c r="A400" s="208" t="s">
        <v>510</v>
      </c>
      <c r="B400" s="170">
        <v>27</v>
      </c>
      <c r="C400" s="168" t="s">
        <v>456</v>
      </c>
      <c r="D400" s="168" t="s">
        <v>458</v>
      </c>
      <c r="E400" s="193" t="s">
        <v>449</v>
      </c>
      <c r="F400" s="208" t="str">
        <f>VLOOKUP($E400,'Master Food List'!master_food_list,21,FALSE)</f>
        <v>Alpine Aire</v>
      </c>
      <c r="G400" s="208" t="str">
        <f>VLOOKUP($E400,'Master Food List'!master_food_list,22,FALSE)</f>
        <v>Alpine Aire</v>
      </c>
      <c r="H400" s="208" t="str">
        <f>VLOOKUP($E400,'Master Food List'!master_food_list,4,FALSE)</f>
        <v>Pouch</v>
      </c>
    </row>
    <row r="401" spans="1:8" ht="51" x14ac:dyDescent="0.2">
      <c r="A401" s="208" t="s">
        <v>510</v>
      </c>
      <c r="B401" s="170">
        <v>27</v>
      </c>
      <c r="C401" s="168" t="s">
        <v>456</v>
      </c>
      <c r="D401" s="168" t="s">
        <v>457</v>
      </c>
      <c r="E401" s="193" t="s">
        <v>479</v>
      </c>
      <c r="F401" s="208" t="str">
        <f>VLOOKUP($E401,'Master Food List'!master_food_list,21,FALSE)</f>
        <v>Justin's</v>
      </c>
      <c r="G401" s="208" t="str">
        <f>VLOOKUP($E401,'Master Food List'!master_food_list,22,FALSE)</f>
        <v>Amazon</v>
      </c>
      <c r="H401" s="208" t="str">
        <f>VLOOKUP($E401,'Master Food List'!master_food_list,4,FALSE)</f>
        <v>Jar</v>
      </c>
    </row>
    <row r="402" spans="1:8" ht="51" x14ac:dyDescent="0.2">
      <c r="A402" s="208" t="s">
        <v>510</v>
      </c>
      <c r="B402" s="170">
        <v>27</v>
      </c>
      <c r="C402" s="168" t="s">
        <v>456</v>
      </c>
      <c r="D402" s="168" t="s">
        <v>455</v>
      </c>
      <c r="E402" s="193" t="s">
        <v>482</v>
      </c>
      <c r="F402" s="208" t="str">
        <f>VLOOKUP($E402,'Master Food List'!master_food_list,21,FALSE)</f>
        <v>Swiss Miss</v>
      </c>
      <c r="G402" s="208" t="str">
        <f>VLOOKUP($E402,'Master Food List'!master_food_list,22,FALSE)</f>
        <v>Amazon</v>
      </c>
      <c r="H402" s="208" t="str">
        <f>VLOOKUP($E402,'Master Food List'!master_food_list,4,FALSE)</f>
        <v>Pack of 3 boxes</v>
      </c>
    </row>
    <row r="403" spans="1:8" ht="51" x14ac:dyDescent="0.2">
      <c r="A403" s="208" t="s">
        <v>510</v>
      </c>
      <c r="B403" s="170">
        <v>28</v>
      </c>
      <c r="C403" s="168" t="s">
        <v>456</v>
      </c>
      <c r="D403" s="168" t="s">
        <v>462</v>
      </c>
      <c r="E403" s="193" t="s">
        <v>414</v>
      </c>
      <c r="F403" s="208" t="str">
        <f>VLOOKUP($E403,'Master Food List'!master_food_list,21,FALSE)</f>
        <v>Snickers</v>
      </c>
      <c r="G403" s="208" t="str">
        <f>VLOOKUP($E403,'Master Food List'!master_food_list,22,FALSE)</f>
        <v>Acme</v>
      </c>
      <c r="H403" s="208" t="str">
        <f>VLOOKUP($E403,'Master Food List'!master_food_list,4,FALSE)</f>
        <v>Bar</v>
      </c>
    </row>
    <row r="404" spans="1:8" ht="51" x14ac:dyDescent="0.2">
      <c r="A404" s="208" t="s">
        <v>510</v>
      </c>
      <c r="B404" s="170">
        <v>28</v>
      </c>
      <c r="C404" s="168" t="s">
        <v>456</v>
      </c>
      <c r="D404" s="168" t="s">
        <v>461</v>
      </c>
      <c r="E404" s="193" t="s">
        <v>354</v>
      </c>
      <c r="F404" s="208" t="str">
        <f>VLOOKUP($E404,'Master Food List'!master_food_list,21,FALSE)</f>
        <v>Thrive Life</v>
      </c>
      <c r="G404" s="208" t="str">
        <f>VLOOKUP($E404,'Master Food List'!master_food_list,22,FALSE)</f>
        <v>Thrive Life</v>
      </c>
      <c r="H404" s="208" t="str">
        <f>VLOOKUP($E404,'Master Food List'!master_food_list,4,FALSE)</f>
        <v>Pouch</v>
      </c>
    </row>
    <row r="405" spans="1:8" ht="51" x14ac:dyDescent="0.2">
      <c r="A405" s="208" t="s">
        <v>510</v>
      </c>
      <c r="B405" s="170">
        <v>28</v>
      </c>
      <c r="C405" s="168" t="s">
        <v>456</v>
      </c>
      <c r="D405" s="168" t="s">
        <v>460</v>
      </c>
      <c r="E405" s="193"/>
      <c r="F405" s="208" t="e">
        <f>VLOOKUP($E405,'Master Food List'!master_food_list,21,FALSE)</f>
        <v>#N/A</v>
      </c>
      <c r="G405" s="208" t="e">
        <f>VLOOKUP($E405,'Master Food List'!master_food_list,22,FALSE)</f>
        <v>#N/A</v>
      </c>
      <c r="H405" s="208" t="e">
        <f>VLOOKUP($E405,'Master Food List'!master_food_list,4,FALSE)</f>
        <v>#N/A</v>
      </c>
    </row>
    <row r="406" spans="1:8" ht="51" x14ac:dyDescent="0.2">
      <c r="A406" s="208" t="s">
        <v>510</v>
      </c>
      <c r="B406" s="170">
        <v>28</v>
      </c>
      <c r="C406" s="168" t="s">
        <v>456</v>
      </c>
      <c r="D406" s="168" t="s">
        <v>459</v>
      </c>
      <c r="E406" s="193" t="s">
        <v>430</v>
      </c>
      <c r="F406" s="208" t="str">
        <f>VLOOKUP($E406,'Master Food List'!master_food_list,21,FALSE)</f>
        <v>Alpine Aire</v>
      </c>
      <c r="G406" s="208" t="str">
        <f>VLOOKUP($E406,'Master Food List'!master_food_list,22,FALSE)</f>
        <v>Alpine Aire</v>
      </c>
      <c r="H406" s="208" t="str">
        <f>VLOOKUP($E406,'Master Food List'!master_food_list,4,FALSE)</f>
        <v>Pouch</v>
      </c>
    </row>
    <row r="407" spans="1:8" ht="51" x14ac:dyDescent="0.2">
      <c r="A407" s="208" t="s">
        <v>510</v>
      </c>
      <c r="B407" s="170">
        <v>28</v>
      </c>
      <c r="C407" s="168" t="s">
        <v>456</v>
      </c>
      <c r="D407" s="168" t="s">
        <v>458</v>
      </c>
      <c r="E407" s="193" t="s">
        <v>436</v>
      </c>
      <c r="F407" s="208" t="str">
        <f>VLOOKUP($E407,'Master Food List'!master_food_list,21,FALSE)</f>
        <v>Alpine Aire</v>
      </c>
      <c r="G407" s="208" t="str">
        <f>VLOOKUP($E407,'Master Food List'!master_food_list,22,FALSE)</f>
        <v>Alpine Aire</v>
      </c>
      <c r="H407" s="208" t="str">
        <f>VLOOKUP($E407,'Master Food List'!master_food_list,4,FALSE)</f>
        <v>Pouch</v>
      </c>
    </row>
    <row r="408" spans="1:8" ht="51" x14ac:dyDescent="0.2">
      <c r="A408" s="208" t="s">
        <v>510</v>
      </c>
      <c r="B408" s="170">
        <v>28</v>
      </c>
      <c r="C408" s="168" t="s">
        <v>456</v>
      </c>
      <c r="D408" s="168" t="s">
        <v>457</v>
      </c>
      <c r="E408" s="193" t="s">
        <v>479</v>
      </c>
      <c r="F408" s="208" t="str">
        <f>VLOOKUP($E408,'Master Food List'!master_food_list,21,FALSE)</f>
        <v>Justin's</v>
      </c>
      <c r="G408" s="208" t="str">
        <f>VLOOKUP($E408,'Master Food List'!master_food_list,22,FALSE)</f>
        <v>Amazon</v>
      </c>
      <c r="H408" s="208" t="str">
        <f>VLOOKUP($E408,'Master Food List'!master_food_list,4,FALSE)</f>
        <v>Jar</v>
      </c>
    </row>
    <row r="409" spans="1:8" ht="51" x14ac:dyDescent="0.2">
      <c r="A409" s="208" t="s">
        <v>510</v>
      </c>
      <c r="B409" s="170">
        <v>28</v>
      </c>
      <c r="C409" s="168" t="s">
        <v>456</v>
      </c>
      <c r="D409" s="168" t="s">
        <v>455</v>
      </c>
      <c r="E409" s="193" t="s">
        <v>482</v>
      </c>
      <c r="F409" s="208" t="str">
        <f>VLOOKUP($E409,'Master Food List'!master_food_list,21,FALSE)</f>
        <v>Swiss Miss</v>
      </c>
      <c r="G409" s="208" t="str">
        <f>VLOOKUP($E409,'Master Food List'!master_food_list,22,FALSE)</f>
        <v>Amazon</v>
      </c>
      <c r="H409" s="208" t="str">
        <f>VLOOKUP($E409,'Master Food List'!master_food_list,4,FALSE)</f>
        <v>Pack of 3 boxes</v>
      </c>
    </row>
    <row r="410" spans="1:8" ht="51" x14ac:dyDescent="0.2">
      <c r="A410" s="208" t="s">
        <v>510</v>
      </c>
      <c r="B410" s="170">
        <v>29</v>
      </c>
      <c r="C410" s="168" t="s">
        <v>456</v>
      </c>
      <c r="D410" s="168" t="s">
        <v>462</v>
      </c>
      <c r="E410" s="193" t="s">
        <v>480</v>
      </c>
      <c r="F410" s="208" t="str">
        <f>VLOOKUP($E410,'Master Food List'!master_food_list,21,FALSE)</f>
        <v>Backpacker's Pantry</v>
      </c>
      <c r="G410" s="208" t="str">
        <f>VLOOKUP($E410,'Master Food List'!master_food_list,22,FALSE)</f>
        <v>Backpacker's Pantry</v>
      </c>
      <c r="H410" s="208" t="str">
        <f>VLOOKUP($E410,'Master Food List'!master_food_list,4,FALSE)</f>
        <v>Pouch</v>
      </c>
    </row>
    <row r="411" spans="1:8" ht="51" x14ac:dyDescent="0.2">
      <c r="A411" s="208" t="s">
        <v>510</v>
      </c>
      <c r="B411" s="170">
        <v>29</v>
      </c>
      <c r="C411" s="168" t="s">
        <v>456</v>
      </c>
      <c r="D411" s="168" t="s">
        <v>461</v>
      </c>
      <c r="E411" s="193" t="s">
        <v>433</v>
      </c>
      <c r="F411" s="208" t="str">
        <f>VLOOKUP($E411,'Master Food List'!master_food_list,21,FALSE)</f>
        <v>Alpine Aire</v>
      </c>
      <c r="G411" s="208" t="str">
        <f>VLOOKUP($E411,'Master Food List'!master_food_list,22,FALSE)</f>
        <v>Alpine Aire</v>
      </c>
      <c r="H411" s="208" t="str">
        <f>VLOOKUP($E411,'Master Food List'!master_food_list,4,FALSE)</f>
        <v>Pouch</v>
      </c>
    </row>
    <row r="412" spans="1:8" ht="51" x14ac:dyDescent="0.2">
      <c r="A412" s="208" t="s">
        <v>510</v>
      </c>
      <c r="B412" s="170">
        <v>29</v>
      </c>
      <c r="C412" s="168" t="s">
        <v>456</v>
      </c>
      <c r="D412" s="168" t="s">
        <v>460</v>
      </c>
      <c r="E412" s="193"/>
      <c r="F412" s="208" t="e">
        <f>VLOOKUP($E412,'Master Food List'!master_food_list,21,FALSE)</f>
        <v>#N/A</v>
      </c>
      <c r="G412" s="208" t="e">
        <f>VLOOKUP($E412,'Master Food List'!master_food_list,22,FALSE)</f>
        <v>#N/A</v>
      </c>
      <c r="H412" s="208" t="e">
        <f>VLOOKUP($E412,'Master Food List'!master_food_list,4,FALSE)</f>
        <v>#N/A</v>
      </c>
    </row>
    <row r="413" spans="1:8" ht="51" x14ac:dyDescent="0.2">
      <c r="A413" s="208" t="s">
        <v>510</v>
      </c>
      <c r="B413" s="170">
        <v>29</v>
      </c>
      <c r="C413" s="168" t="s">
        <v>456</v>
      </c>
      <c r="D413" s="168" t="s">
        <v>459</v>
      </c>
      <c r="E413" s="193" t="s">
        <v>414</v>
      </c>
      <c r="F413" s="208" t="str">
        <f>VLOOKUP($E413,'Master Food List'!master_food_list,21,FALSE)</f>
        <v>Snickers</v>
      </c>
      <c r="G413" s="208" t="str">
        <f>VLOOKUP($E413,'Master Food List'!master_food_list,22,FALSE)</f>
        <v>Acme</v>
      </c>
      <c r="H413" s="208" t="str">
        <f>VLOOKUP($E413,'Master Food List'!master_food_list,4,FALSE)</f>
        <v>Bar</v>
      </c>
    </row>
    <row r="414" spans="1:8" ht="51" x14ac:dyDescent="0.2">
      <c r="A414" s="208" t="s">
        <v>510</v>
      </c>
      <c r="B414" s="170">
        <v>29</v>
      </c>
      <c r="C414" s="168" t="s">
        <v>456</v>
      </c>
      <c r="D414" s="168" t="s">
        <v>458</v>
      </c>
      <c r="E414" s="193" t="s">
        <v>493</v>
      </c>
      <c r="F414" s="208" t="str">
        <f>VLOOKUP($E414,'Master Food List'!master_food_list,21,FALSE)</f>
        <v>Backpacker's Pantry</v>
      </c>
      <c r="G414" s="208" t="str">
        <f>VLOOKUP($E414,'Master Food List'!master_food_list,22,FALSE)</f>
        <v>Backpacker's Pantry</v>
      </c>
      <c r="H414" s="208" t="str">
        <f>VLOOKUP($E414,'Master Food List'!master_food_list,4,FALSE)</f>
        <v>Pouch</v>
      </c>
    </row>
    <row r="415" spans="1:8" ht="51" x14ac:dyDescent="0.2">
      <c r="A415" s="208" t="s">
        <v>510</v>
      </c>
      <c r="B415" s="170">
        <v>29</v>
      </c>
      <c r="C415" s="168" t="s">
        <v>456</v>
      </c>
      <c r="D415" s="168" t="s">
        <v>457</v>
      </c>
      <c r="E415" s="193" t="s">
        <v>479</v>
      </c>
      <c r="F415" s="208" t="str">
        <f>VLOOKUP($E415,'Master Food List'!master_food_list,21,FALSE)</f>
        <v>Justin's</v>
      </c>
      <c r="G415" s="208" t="str">
        <f>VLOOKUP($E415,'Master Food List'!master_food_list,22,FALSE)</f>
        <v>Amazon</v>
      </c>
      <c r="H415" s="208" t="str">
        <f>VLOOKUP($E415,'Master Food List'!master_food_list,4,FALSE)</f>
        <v>Jar</v>
      </c>
    </row>
    <row r="416" spans="1:8" ht="51" x14ac:dyDescent="0.2">
      <c r="A416" s="208" t="s">
        <v>510</v>
      </c>
      <c r="B416" s="170">
        <v>29</v>
      </c>
      <c r="C416" s="168" t="s">
        <v>456</v>
      </c>
      <c r="D416" s="168" t="s">
        <v>455</v>
      </c>
      <c r="E416" s="193" t="s">
        <v>482</v>
      </c>
      <c r="F416" s="208" t="str">
        <f>VLOOKUP($E416,'Master Food List'!master_food_list,21,FALSE)</f>
        <v>Swiss Miss</v>
      </c>
      <c r="G416" s="208" t="str">
        <f>VLOOKUP($E416,'Master Food List'!master_food_list,22,FALSE)</f>
        <v>Amazon</v>
      </c>
      <c r="H416" s="208" t="str">
        <f>VLOOKUP($E416,'Master Food List'!master_food_list,4,FALSE)</f>
        <v>Pack of 3 boxes</v>
      </c>
    </row>
  </sheetData>
  <autoFilter ref="A2:H416" xr:uid="{44C54111-C0B3-EC42-ABC6-B8C889EBA78B}"/>
  <mergeCells count="3">
    <mergeCell ref="A1:H1"/>
    <mergeCell ref="J1:W1"/>
    <mergeCell ref="J2:W2"/>
  </mergeCells>
  <pageMargins left="0.25" right="0.25" top="1" bottom="0.75" header="0.3" footer="0.3"/>
  <pageSetup scale="51" fitToHeight="2" orientation="portrait" horizontalDpi="0" verticalDpi="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BA923A9-1BFA-7748-9A3C-06EEF381D28C}">
          <x14:formula1>
            <xm:f>'Master Food List'!$A:$A</xm:f>
          </x14:formula1>
          <xm:sqref>E3:E416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7537-AA06-9348-A1E2-900521CD5095}">
  <sheetPr>
    <pageSetUpPr fitToPage="1"/>
  </sheetPr>
  <dimension ref="A1:N218"/>
  <sheetViews>
    <sheetView zoomScaleNormal="100" zoomScaleSheetLayoutView="100" workbookViewId="0">
      <pane ySplit="7" topLeftCell="A8" activePane="bottomLeft" state="frozen"/>
      <selection pane="bottomLeft" sqref="A1:K1"/>
    </sheetView>
  </sheetViews>
  <sheetFormatPr baseColWidth="10" defaultRowHeight="16" x14ac:dyDescent="0.2"/>
  <cols>
    <col min="1" max="1" width="8.6640625" style="199" customWidth="1"/>
    <col min="2" max="2" width="11.83203125" style="200" bestFit="1" customWidth="1"/>
    <col min="3" max="3" width="13.1640625" style="200" bestFit="1" customWidth="1"/>
    <col min="4" max="4" width="39.5" style="201" customWidth="1"/>
    <col min="5" max="5" width="10.83203125" style="270"/>
    <col min="6" max="6" width="16.83203125" style="270" bestFit="1" customWidth="1"/>
    <col min="7" max="7" width="10.6640625" style="270" bestFit="1" customWidth="1"/>
    <col min="8" max="8" width="7" style="270" bestFit="1" customWidth="1"/>
    <col min="9" max="9" width="12.83203125" style="270" bestFit="1" customWidth="1"/>
    <col min="10" max="10" width="11.5" style="270" bestFit="1" customWidth="1"/>
    <col min="11" max="11" width="13" style="270" bestFit="1" customWidth="1"/>
    <col min="12" max="16384" width="10.83203125" style="202"/>
  </cols>
  <sheetData>
    <row r="1" spans="1:14" s="345" customFormat="1" ht="59" customHeight="1" x14ac:dyDescent="0.2">
      <c r="A1" s="452" t="s">
        <v>761</v>
      </c>
      <c r="B1" s="452"/>
      <c r="C1" s="452"/>
      <c r="D1" s="452"/>
      <c r="E1" s="452"/>
      <c r="F1" s="452"/>
      <c r="G1" s="452"/>
      <c r="H1" s="452"/>
      <c r="I1" s="452"/>
      <c r="J1" s="452"/>
      <c r="K1" s="452"/>
    </row>
    <row r="2" spans="1:14" s="160" customFormat="1" ht="43" customHeight="1" x14ac:dyDescent="0.2">
      <c r="A2" s="451" t="s">
        <v>476</v>
      </c>
      <c r="B2" s="451"/>
      <c r="C2" s="451"/>
      <c r="D2" s="451"/>
      <c r="E2" s="451"/>
      <c r="F2" s="451"/>
      <c r="G2" s="451"/>
      <c r="H2" s="451"/>
      <c r="I2" s="451"/>
      <c r="J2" s="451"/>
      <c r="K2" s="451"/>
    </row>
    <row r="3" spans="1:14" s="160" customFormat="1" ht="15" customHeight="1" x14ac:dyDescent="0.2">
      <c r="A3" s="165" t="s">
        <v>469</v>
      </c>
      <c r="B3" s="274" t="s">
        <v>468</v>
      </c>
      <c r="C3" s="162"/>
      <c r="D3" s="162"/>
      <c r="E3" s="161"/>
      <c r="F3" s="161"/>
      <c r="G3" s="161"/>
      <c r="H3" s="271"/>
      <c r="I3" s="161"/>
      <c r="J3" s="161"/>
      <c r="K3" s="161"/>
    </row>
    <row r="4" spans="1:14" s="160" customFormat="1" ht="18" x14ac:dyDescent="0.2">
      <c r="A4" s="167"/>
      <c r="B4" s="273"/>
      <c r="C4" s="294"/>
      <c r="D4" s="294"/>
      <c r="E4" s="294"/>
      <c r="F4" s="294"/>
      <c r="G4" s="294"/>
      <c r="H4" s="294"/>
      <c r="I4" s="294"/>
      <c r="J4" s="294"/>
      <c r="K4" s="294"/>
    </row>
    <row r="5" spans="1:14" s="160" customFormat="1" ht="61" customHeight="1" x14ac:dyDescent="0.2">
      <c r="A5" s="167" t="s">
        <v>473</v>
      </c>
      <c r="B5" s="273" t="s">
        <v>472</v>
      </c>
      <c r="C5" s="295"/>
      <c r="D5" s="451" t="s">
        <v>471</v>
      </c>
      <c r="E5" s="451"/>
      <c r="F5" s="451" t="s">
        <v>470</v>
      </c>
      <c r="G5" s="451"/>
      <c r="H5" s="451"/>
      <c r="I5" s="451"/>
      <c r="J5" s="276"/>
      <c r="K5" s="276"/>
      <c r="L5" s="276"/>
      <c r="M5" s="276"/>
      <c r="N5" s="276"/>
    </row>
    <row r="6" spans="1:14" s="160" customFormat="1" ht="15" customHeight="1" x14ac:dyDescent="0.2">
      <c r="A6" s="165"/>
      <c r="B6" s="164"/>
      <c r="C6" s="162"/>
      <c r="D6" s="162"/>
      <c r="E6" s="161"/>
      <c r="F6" s="161"/>
      <c r="G6" s="161"/>
      <c r="H6" s="271"/>
      <c r="I6" s="161"/>
      <c r="J6" s="161"/>
      <c r="K6" s="161"/>
    </row>
    <row r="7" spans="1:14" s="175" customFormat="1" ht="32" x14ac:dyDescent="0.2">
      <c r="A7" s="173" t="s">
        <v>467</v>
      </c>
      <c r="B7" s="173" t="s">
        <v>466</v>
      </c>
      <c r="C7" s="173" t="s">
        <v>227</v>
      </c>
      <c r="D7" s="173" t="s">
        <v>465</v>
      </c>
      <c r="E7" s="174" t="s">
        <v>368</v>
      </c>
      <c r="F7" s="174" t="s">
        <v>367</v>
      </c>
      <c r="G7" s="174" t="s">
        <v>366</v>
      </c>
      <c r="H7" s="174" t="s">
        <v>365</v>
      </c>
      <c r="I7" s="174" t="s">
        <v>364</v>
      </c>
      <c r="J7" s="174" t="s">
        <v>380</v>
      </c>
      <c r="K7" s="174" t="s">
        <v>464</v>
      </c>
    </row>
    <row r="8" spans="1:14" s="190" customFormat="1" ht="32" x14ac:dyDescent="0.2">
      <c r="A8" s="278">
        <v>0</v>
      </c>
      <c r="B8" s="279" t="s">
        <v>463</v>
      </c>
      <c r="C8" s="279" t="s">
        <v>461</v>
      </c>
      <c r="D8" s="281" t="s">
        <v>495</v>
      </c>
      <c r="E8" s="291"/>
      <c r="F8" s="291"/>
      <c r="G8" s="291"/>
      <c r="H8" s="291"/>
      <c r="I8" s="291"/>
      <c r="J8" s="291"/>
      <c r="K8" s="291"/>
    </row>
    <row r="9" spans="1:14" s="190" customFormat="1" x14ac:dyDescent="0.2">
      <c r="A9" s="278">
        <v>0</v>
      </c>
      <c r="B9" s="279" t="s">
        <v>463</v>
      </c>
      <c r="C9" s="279" t="s">
        <v>460</v>
      </c>
      <c r="D9" s="280" t="s">
        <v>427</v>
      </c>
      <c r="E9" s="291">
        <f ca="1">IF(D9="","",(VLOOKUP($D9,master_food_list,'Master Food List'!N$91,FALSE)))</f>
        <v>300</v>
      </c>
      <c r="F9" s="291">
        <f ca="1">IF(E9="","",(VLOOKUP($D9,master_food_list,'Master Food List'!O$91,FALSE)))</f>
        <v>24</v>
      </c>
      <c r="G9" s="291">
        <f ca="1">IF(F9="","",(VLOOKUP($D9,master_food_list,'Master Food List'!P$91,FALSE)))</f>
        <v>8</v>
      </c>
      <c r="H9" s="291">
        <f ca="1">IF(G9="","",(VLOOKUP($D9,master_food_list,'Master Food List'!Q$91,FALSE)))</f>
        <v>20</v>
      </c>
      <c r="I9" s="291">
        <f ca="1">IF(H9="","",(VLOOKUP($D9,master_food_list,'Master Food List'!R$91,FALSE)))</f>
        <v>120</v>
      </c>
      <c r="J9" s="291">
        <f ca="1">IF(I9="","",(VLOOKUP($D9,master_food_list,'Master Food List'!S$91,FALSE)))</f>
        <v>0</v>
      </c>
      <c r="K9" s="291">
        <f ca="1">IF(J9="","",(VLOOKUP($D9,master_food_list,'Master Food List'!T$91,FALSE)))</f>
        <v>150</v>
      </c>
      <c r="M9"/>
    </row>
    <row r="10" spans="1:14" s="190" customFormat="1" ht="48" x14ac:dyDescent="0.2">
      <c r="A10" s="278">
        <v>0</v>
      </c>
      <c r="B10" s="279" t="s">
        <v>463</v>
      </c>
      <c r="C10" s="279" t="s">
        <v>459</v>
      </c>
      <c r="D10" s="280" t="s">
        <v>433</v>
      </c>
      <c r="E10" s="291">
        <f ca="1">IF(D10="","",(VLOOKUP($D10,master_food_list,'Master Food List'!N$91,FALSE)))</f>
        <v>280</v>
      </c>
      <c r="F10" s="291">
        <f ca="1">IF(E10="","",(VLOOKUP($D10,master_food_list,'Master Food List'!O$91,FALSE)))</f>
        <v>34</v>
      </c>
      <c r="G10" s="291">
        <f ca="1">IF(F10="","",(VLOOKUP($D10,master_food_list,'Master Food List'!P$91,FALSE)))</f>
        <v>2</v>
      </c>
      <c r="H10" s="291">
        <f ca="1">IF(G10="","",(VLOOKUP($D10,master_food_list,'Master Food List'!Q$91,FALSE)))</f>
        <v>17</v>
      </c>
      <c r="I10" s="291">
        <f ca="1">IF(H10="","",(VLOOKUP($D10,master_food_list,'Master Food List'!R$91,FALSE)))</f>
        <v>0</v>
      </c>
      <c r="J10" s="291">
        <f ca="1">IF(I10="","",(VLOOKUP($D10,master_food_list,'Master Food List'!S$91,FALSE)))</f>
        <v>0</v>
      </c>
      <c r="K10" s="291">
        <f ca="1">IF(J10="","",(VLOOKUP($D10,master_food_list,'Master Food List'!T$91,FALSE)))</f>
        <v>140</v>
      </c>
      <c r="M10"/>
    </row>
    <row r="11" spans="1:14" s="190" customFormat="1" x14ac:dyDescent="0.2">
      <c r="A11" s="278">
        <v>0</v>
      </c>
      <c r="B11" s="279" t="s">
        <v>463</v>
      </c>
      <c r="C11" s="279" t="s">
        <v>458</v>
      </c>
      <c r="D11" s="280" t="s">
        <v>439</v>
      </c>
      <c r="E11" s="291">
        <f ca="1">IF(D11="","",(VLOOKUP($D11,master_food_list,'Master Food List'!N$91,FALSE)))</f>
        <v>540</v>
      </c>
      <c r="F11" s="291">
        <f ca="1">IF(E11="","",(VLOOKUP($D11,master_food_list,'Master Food List'!O$91,FALSE)))</f>
        <v>100</v>
      </c>
      <c r="G11" s="291">
        <f ca="1">IF(F11="","",(VLOOKUP($D11,master_food_list,'Master Food List'!P$91,FALSE)))</f>
        <v>32</v>
      </c>
      <c r="H11" s="291">
        <f ca="1">IF(G11="","",(VLOOKUP($D11,master_food_list,'Master Food List'!Q$91,FALSE)))</f>
        <v>4</v>
      </c>
      <c r="I11" s="291">
        <f ca="1">IF(H11="","",(VLOOKUP($D11,master_food_list,'Master Food List'!R$91,FALSE)))</f>
        <v>1260</v>
      </c>
      <c r="J11" s="291">
        <f ca="1">IF(I11="","",(VLOOKUP($D11,master_food_list,'Master Food List'!S$91,FALSE)))</f>
        <v>0</v>
      </c>
      <c r="K11" s="291">
        <f ca="1">IF(J11="","",(VLOOKUP($D11,master_food_list,'Master Food List'!T$91,FALSE)))</f>
        <v>98.181818181818187</v>
      </c>
      <c r="M11"/>
    </row>
    <row r="12" spans="1:14" s="189" customFormat="1" ht="32" x14ac:dyDescent="0.2">
      <c r="A12" s="282">
        <v>1</v>
      </c>
      <c r="B12" s="283" t="s">
        <v>463</v>
      </c>
      <c r="C12" s="283" t="s">
        <v>462</v>
      </c>
      <c r="D12" s="284" t="s">
        <v>480</v>
      </c>
      <c r="E12" s="292">
        <f ca="1">IF(D12="","",(VLOOKUP($D12,master_food_list,'Master Food List'!N$91,FALSE)))</f>
        <v>620</v>
      </c>
      <c r="F12" s="292">
        <f ca="1">IF(E12="","",(VLOOKUP($D12,master_food_list,'Master Food List'!O$91,FALSE)))</f>
        <v>74</v>
      </c>
      <c r="G12" s="292">
        <f ca="1">IF(F12="","",(VLOOKUP($D12,master_food_list,'Master Food List'!P$91,FALSE)))</f>
        <v>16</v>
      </c>
      <c r="H12" s="292">
        <f ca="1">IF(G12="","",(VLOOKUP($D12,master_food_list,'Master Food List'!Q$91,FALSE)))</f>
        <v>31</v>
      </c>
      <c r="I12" s="292">
        <f ca="1">IF(H12="","",(VLOOKUP($D12,master_food_list,'Master Food List'!R$91,FALSE)))</f>
        <v>280</v>
      </c>
      <c r="J12" s="292">
        <f ca="1">IF(I12="","",(VLOOKUP($D12,master_food_list,'Master Food List'!S$91,FALSE)))</f>
        <v>0</v>
      </c>
      <c r="K12" s="292">
        <f ca="1">IF(J12="","",(VLOOKUP($D12,master_food_list,'Master Food List'!T$91,FALSE)))</f>
        <v>130.52631578947367</v>
      </c>
      <c r="M12"/>
    </row>
    <row r="13" spans="1:14" s="189" customFormat="1" ht="32" x14ac:dyDescent="0.2">
      <c r="A13" s="282">
        <v>1</v>
      </c>
      <c r="B13" s="283" t="s">
        <v>463</v>
      </c>
      <c r="C13" s="283" t="s">
        <v>461</v>
      </c>
      <c r="D13" s="284" t="s">
        <v>327</v>
      </c>
      <c r="E13" s="292">
        <f ca="1">IF(D13="","",(VLOOKUP($D13,master_food_list,'Master Food List'!N$91,FALSE)))</f>
        <v>130</v>
      </c>
      <c r="F13" s="292">
        <f ca="1">IF(E13="","",(VLOOKUP($D13,master_food_list,'Master Food List'!O$91,FALSE)))</f>
        <v>8</v>
      </c>
      <c r="G13" s="292">
        <f ca="1">IF(F13="","",(VLOOKUP($D13,master_food_list,'Master Food List'!P$91,FALSE)))</f>
        <v>7</v>
      </c>
      <c r="H13" s="292">
        <f ca="1">IF(G13="","",(VLOOKUP($D13,master_food_list,'Master Food List'!Q$91,FALSE)))</f>
        <v>8</v>
      </c>
      <c r="I13" s="292">
        <f ca="1">IF(H13="","",(VLOOKUP($D13,master_food_list,'Master Food List'!R$91,FALSE)))</f>
        <v>320</v>
      </c>
      <c r="J13" s="292">
        <f ca="1">IF(I13="","",(VLOOKUP($D13,master_food_list,'Master Food List'!S$91,FALSE)))</f>
        <v>0</v>
      </c>
      <c r="K13" s="292">
        <f ca="1">IF(J13="","",(VLOOKUP($D13,master_food_list,'Master Food List'!T$91,FALSE)))</f>
        <v>99.999999999999986</v>
      </c>
      <c r="M13"/>
    </row>
    <row r="14" spans="1:14" s="189" customFormat="1" x14ac:dyDescent="0.2">
      <c r="A14" s="282">
        <v>1</v>
      </c>
      <c r="B14" s="283" t="s">
        <v>463</v>
      </c>
      <c r="C14" s="283" t="s">
        <v>460</v>
      </c>
      <c r="D14" s="284"/>
      <c r="E14" s="292" t="str">
        <f>IF(D14="","",(VLOOKUP($D14,master_food_list,'Master Food List'!N$91,FALSE)))</f>
        <v/>
      </c>
      <c r="F14" s="292" t="str">
        <f>IF(E14="","",(VLOOKUP($D14,master_food_list,'Master Food List'!O$91,FALSE)))</f>
        <v/>
      </c>
      <c r="G14" s="292" t="str">
        <f>IF(F14="","",(VLOOKUP($D14,master_food_list,'Master Food List'!P$91,FALSE)))</f>
        <v/>
      </c>
      <c r="H14" s="292" t="str">
        <f>IF(G14="","",(VLOOKUP($D14,master_food_list,'Master Food List'!Q$91,FALSE)))</f>
        <v/>
      </c>
      <c r="I14" s="292" t="str">
        <f>IF(H14="","",(VLOOKUP($D14,master_food_list,'Master Food List'!R$91,FALSE)))</f>
        <v/>
      </c>
      <c r="J14" s="292" t="str">
        <f>IF(I14="","",(VLOOKUP($D14,master_food_list,'Master Food List'!S$91,FALSE)))</f>
        <v/>
      </c>
      <c r="K14" s="292" t="str">
        <f>IF(J14="","",(VLOOKUP($D14,master_food_list,'Master Food List'!T$91,FALSE)))</f>
        <v/>
      </c>
      <c r="M14"/>
    </row>
    <row r="15" spans="1:14" s="189" customFormat="1" ht="32" x14ac:dyDescent="0.2">
      <c r="A15" s="282">
        <v>1</v>
      </c>
      <c r="B15" s="283" t="s">
        <v>463</v>
      </c>
      <c r="C15" s="283" t="s">
        <v>459</v>
      </c>
      <c r="D15" s="284" t="s">
        <v>347</v>
      </c>
      <c r="E15" s="292">
        <f ca="1">IF(D15="","",(VLOOKUP($D15,master_food_list,'Master Food List'!N$91,FALSE)))</f>
        <v>665</v>
      </c>
      <c r="F15" s="292">
        <f ca="1">IF(E15="","",(VLOOKUP($D15,master_food_list,'Master Food List'!O$91,FALSE)))</f>
        <v>0</v>
      </c>
      <c r="G15" s="292">
        <f ca="1">IF(F15="","",(VLOOKUP($D15,master_food_list,'Master Food List'!P$91,FALSE)))</f>
        <v>35</v>
      </c>
      <c r="H15" s="292">
        <f ca="1">IF(G15="","",(VLOOKUP($D15,master_food_list,'Master Food List'!Q$91,FALSE)))</f>
        <v>56</v>
      </c>
      <c r="I15" s="292">
        <f ca="1">IF(H15="","",(VLOOKUP($D15,master_food_list,'Master Food List'!R$91,FALSE)))</f>
        <v>2415</v>
      </c>
      <c r="J15" s="292">
        <f ca="1">IF(I15="","",(VLOOKUP($D15,master_food_list,'Master Food List'!S$91,FALSE)))</f>
        <v>0</v>
      </c>
      <c r="K15" s="292">
        <f ca="1">IF(J15="","",(VLOOKUP($D15,master_food_list,'Master Food List'!T$91,FALSE)))</f>
        <v>180.70652173913044</v>
      </c>
      <c r="M15"/>
    </row>
    <row r="16" spans="1:14" s="189" customFormat="1" ht="32" x14ac:dyDescent="0.2">
      <c r="A16" s="282">
        <v>1</v>
      </c>
      <c r="B16" s="283" t="s">
        <v>463</v>
      </c>
      <c r="C16" s="283" t="s">
        <v>458</v>
      </c>
      <c r="D16" s="284" t="s">
        <v>493</v>
      </c>
      <c r="E16" s="292">
        <f ca="1">IF(D16="","",(VLOOKUP($D16,master_food_list,'Master Food List'!N$91,FALSE)))</f>
        <v>1000</v>
      </c>
      <c r="F16" s="292">
        <f ca="1">IF(E16="","",(VLOOKUP($D16,master_food_list,'Master Food List'!O$91,FALSE)))</f>
        <v>112</v>
      </c>
      <c r="G16" s="292">
        <f ca="1">IF(F16="","",(VLOOKUP($D16,master_food_list,'Master Food List'!P$91,FALSE)))</f>
        <v>40</v>
      </c>
      <c r="H16" s="292">
        <f ca="1">IF(G16="","",(VLOOKUP($D16,master_food_list,'Master Food List'!Q$91,FALSE)))</f>
        <v>52</v>
      </c>
      <c r="I16" s="292">
        <f ca="1">IF(H16="","",(VLOOKUP($D16,master_food_list,'Master Food List'!R$91,FALSE)))</f>
        <v>460</v>
      </c>
      <c r="J16" s="292">
        <f ca="1">IF(I16="","",(VLOOKUP($D16,master_food_list,'Master Food List'!S$91,FALSE)))</f>
        <v>0</v>
      </c>
      <c r="K16" s="292">
        <f ca="1">IF(J16="","",(VLOOKUP($D16,master_food_list,'Master Food List'!T$91,FALSE)))</f>
        <v>123.4567901234568</v>
      </c>
      <c r="M16"/>
    </row>
    <row r="17" spans="1:13" s="189" customFormat="1" x14ac:dyDescent="0.2">
      <c r="A17" s="282">
        <v>1</v>
      </c>
      <c r="B17" s="283" t="s">
        <v>463</v>
      </c>
      <c r="C17" s="283" t="s">
        <v>457</v>
      </c>
      <c r="D17" s="284" t="s">
        <v>479</v>
      </c>
      <c r="E17" s="292">
        <f ca="1">IF(D17="","",(VLOOKUP($D17,master_food_list,'Master Food List'!N$91,FALSE)))</f>
        <v>300</v>
      </c>
      <c r="F17" s="292">
        <f ca="1">IF(E17="","",(VLOOKUP($D17,master_food_list,'Master Food List'!O$91,FALSE)))</f>
        <v>10.5</v>
      </c>
      <c r="G17" s="292">
        <f ca="1">IF(F17="","",(VLOOKUP($D17,master_food_list,'Master Food List'!P$91,FALSE)))</f>
        <v>10.5</v>
      </c>
      <c r="H17" s="292">
        <f ca="1">IF(G17="","",(VLOOKUP($D17,master_food_list,'Master Food List'!Q$91,FALSE)))</f>
        <v>25.5</v>
      </c>
      <c r="I17" s="292">
        <f ca="1">IF(H17="","",(VLOOKUP($D17,master_food_list,'Master Food List'!R$91,FALSE)))</f>
        <v>150</v>
      </c>
      <c r="J17" s="292">
        <f ca="1">IF(I17="","",(VLOOKUP($D17,master_food_list,'Master Food List'!S$91,FALSE)))</f>
        <v>0</v>
      </c>
      <c r="K17" s="292">
        <f ca="1">IF(J17="","",(VLOOKUP($D17,master_food_list,'Master Food List'!T$91,FALSE)))</f>
        <v>177.77777777777777</v>
      </c>
      <c r="M17"/>
    </row>
    <row r="18" spans="1:13" s="189" customFormat="1" x14ac:dyDescent="0.2">
      <c r="A18" s="282">
        <v>1</v>
      </c>
      <c r="B18" s="283" t="s">
        <v>463</v>
      </c>
      <c r="C18" s="283" t="s">
        <v>455</v>
      </c>
      <c r="D18" s="284" t="s">
        <v>478</v>
      </c>
      <c r="E18" s="292">
        <f ca="1">IF(D18="","",(VLOOKUP($D18,master_food_list,'Master Food List'!N$91,FALSE)))</f>
        <v>540</v>
      </c>
      <c r="F18" s="292">
        <f ca="1">IF(E18="","",(VLOOKUP($D18,master_food_list,'Master Food List'!O$91,FALSE)))</f>
        <v>105</v>
      </c>
      <c r="G18" s="292">
        <f ca="1">IF(F18="","",(VLOOKUP($D18,master_food_list,'Master Food List'!P$91,FALSE)))</f>
        <v>6</v>
      </c>
      <c r="H18" s="292">
        <f ca="1">IF(G18="","",(VLOOKUP($D18,master_food_list,'Master Food List'!Q$91,FALSE)))</f>
        <v>12</v>
      </c>
      <c r="I18" s="292">
        <f ca="1">IF(H18="","",(VLOOKUP($D18,master_food_list,'Master Food List'!R$91,FALSE)))</f>
        <v>240</v>
      </c>
      <c r="J18" s="292">
        <f ca="1">IF(I18="","",(VLOOKUP($D18,master_food_list,'Master Food List'!S$91,FALSE)))</f>
        <v>0</v>
      </c>
      <c r="K18" s="292">
        <f ca="1">IF(J18="","",(VLOOKUP($D18,master_food_list,'Master Food List'!T$91,FALSE)))</f>
        <v>117.64705882352942</v>
      </c>
      <c r="M18"/>
    </row>
    <row r="19" spans="1:13" customFormat="1" ht="32" x14ac:dyDescent="0.2">
      <c r="A19" s="286">
        <v>2</v>
      </c>
      <c r="B19" s="287" t="s">
        <v>463</v>
      </c>
      <c r="C19" s="287" t="s">
        <v>462</v>
      </c>
      <c r="D19" s="288" t="s">
        <v>485</v>
      </c>
      <c r="E19" s="293">
        <f ca="1">IF(D19="","",(VLOOKUP($D19,master_food_list,'Master Food List'!N$91,FALSE)))</f>
        <v>500</v>
      </c>
      <c r="F19" s="293">
        <f ca="1">IF(E19="","",(VLOOKUP($D19,master_food_list,'Master Food List'!O$91,FALSE)))</f>
        <v>74</v>
      </c>
      <c r="G19" s="293">
        <f ca="1">IF(F19="","",(VLOOKUP($D19,master_food_list,'Master Food List'!P$91,FALSE)))</f>
        <v>16</v>
      </c>
      <c r="H19" s="293">
        <f ca="1">IF(G19="","",(VLOOKUP($D19,master_food_list,'Master Food List'!Q$91,FALSE)))</f>
        <v>18</v>
      </c>
      <c r="I19" s="293">
        <f ca="1">IF(H19="","",(VLOOKUP($D19,master_food_list,'Master Food List'!R$91,FALSE)))</f>
        <v>130</v>
      </c>
      <c r="J19" s="293">
        <f ca="1">IF(I19="","",(VLOOKUP($D19,master_food_list,'Master Food List'!S$91,FALSE)))</f>
        <v>0</v>
      </c>
      <c r="K19" s="293">
        <f ca="1">IF(J19="","",(VLOOKUP($D19,master_food_list,'Master Food List'!T$91,FALSE)))</f>
        <v>126.55024044545685</v>
      </c>
    </row>
    <row r="20" spans="1:13" customFormat="1" ht="32" x14ac:dyDescent="0.2">
      <c r="A20" s="286">
        <v>2</v>
      </c>
      <c r="B20" s="287" t="s">
        <v>463</v>
      </c>
      <c r="C20" s="287" t="s">
        <v>461</v>
      </c>
      <c r="D20" s="288" t="s">
        <v>414</v>
      </c>
      <c r="E20" s="293">
        <f ca="1">IF(D20="","",(VLOOKUP($D20,master_food_list,'Master Food List'!N$91,FALSE)))</f>
        <v>250</v>
      </c>
      <c r="F20" s="293">
        <f ca="1">IF(E20="","",(VLOOKUP($D20,master_food_list,'Master Food List'!O$91,FALSE)))</f>
        <v>33</v>
      </c>
      <c r="G20" s="293">
        <f ca="1">IF(F20="","",(VLOOKUP($D20,master_food_list,'Master Food List'!P$91,FALSE)))</f>
        <v>4</v>
      </c>
      <c r="H20" s="293">
        <f ca="1">IF(G20="","",(VLOOKUP($D20,master_food_list,'Master Food List'!Q$91,FALSE)))</f>
        <v>12</v>
      </c>
      <c r="I20" s="293">
        <f ca="1">IF(H20="","",(VLOOKUP($D20,master_food_list,'Master Food List'!R$91,FALSE)))</f>
        <v>120</v>
      </c>
      <c r="J20" s="293">
        <f ca="1">IF(I20="","",(VLOOKUP($D20,master_food_list,'Master Food List'!S$91,FALSE)))</f>
        <v>0</v>
      </c>
      <c r="K20" s="293">
        <f ca="1">IF(J20="","",(VLOOKUP($D20,master_food_list,'Master Food List'!T$91,FALSE)))</f>
        <v>134.40860215053763</v>
      </c>
    </row>
    <row r="21" spans="1:13" customFormat="1" x14ac:dyDescent="0.2">
      <c r="A21" s="286">
        <v>2</v>
      </c>
      <c r="B21" s="287" t="s">
        <v>463</v>
      </c>
      <c r="C21" s="287" t="s">
        <v>460</v>
      </c>
      <c r="D21" s="288"/>
      <c r="E21" s="293" t="str">
        <f>IF(D21="","",(VLOOKUP($D21,master_food_list,'Master Food List'!N$91,FALSE)))</f>
        <v/>
      </c>
      <c r="F21" s="293" t="str">
        <f>IF(E21="","",(VLOOKUP($D21,master_food_list,'Master Food List'!O$91,FALSE)))</f>
        <v/>
      </c>
      <c r="G21" s="293" t="str">
        <f>IF(F21="","",(VLOOKUP($D21,master_food_list,'Master Food List'!P$91,FALSE)))</f>
        <v/>
      </c>
      <c r="H21" s="293" t="str">
        <f>IF(G21="","",(VLOOKUP($D21,master_food_list,'Master Food List'!Q$91,FALSE)))</f>
        <v/>
      </c>
      <c r="I21" s="293" t="str">
        <f>IF(H21="","",(VLOOKUP($D21,master_food_list,'Master Food List'!R$91,FALSE)))</f>
        <v/>
      </c>
      <c r="J21" s="293" t="str">
        <f>IF(I21="","",(VLOOKUP($D21,master_food_list,'Master Food List'!S$91,FALSE)))</f>
        <v/>
      </c>
      <c r="K21" s="293" t="str">
        <f>IF(J21="","",(VLOOKUP($D21,master_food_list,'Master Food List'!T$91,FALSE)))</f>
        <v/>
      </c>
    </row>
    <row r="22" spans="1:13" customFormat="1" ht="32" x14ac:dyDescent="0.2">
      <c r="A22" s="286">
        <v>2</v>
      </c>
      <c r="B22" s="287" t="s">
        <v>463</v>
      </c>
      <c r="C22" s="287" t="s">
        <v>459</v>
      </c>
      <c r="D22" s="288" t="s">
        <v>397</v>
      </c>
      <c r="E22" s="293">
        <f ca="1">IF(D22="","",(VLOOKUP($D22,master_food_list,'Master Food List'!N$91,FALSE)))</f>
        <v>280</v>
      </c>
      <c r="F22" s="293">
        <f ca="1">IF(E22="","",(VLOOKUP($D22,master_food_list,'Master Food List'!O$91,FALSE)))</f>
        <v>29</v>
      </c>
      <c r="G22" s="293">
        <f ca="1">IF(F22="","",(VLOOKUP($D22,master_food_list,'Master Food List'!P$91,FALSE)))</f>
        <v>20</v>
      </c>
      <c r="H22" s="293">
        <f ca="1">IF(G22="","",(VLOOKUP($D22,master_food_list,'Master Food List'!Q$91,FALSE)))</f>
        <v>10</v>
      </c>
      <c r="I22" s="293">
        <f ca="1">IF(H22="","",(VLOOKUP($D22,master_food_list,'Master Food List'!R$91,FALSE)))</f>
        <v>360</v>
      </c>
      <c r="J22" s="293">
        <f ca="1">IF(I22="","",(VLOOKUP($D22,master_food_list,'Master Food List'!S$91,FALSE)))</f>
        <v>0</v>
      </c>
      <c r="K22" s="293">
        <f ca="1">IF(J22="","",(VLOOKUP($D22,master_food_list,'Master Food List'!T$91,FALSE)))</f>
        <v>116.66666666666667</v>
      </c>
    </row>
    <row r="23" spans="1:13" customFormat="1" ht="32" x14ac:dyDescent="0.2">
      <c r="A23" s="286">
        <v>2</v>
      </c>
      <c r="B23" s="287" t="s">
        <v>463</v>
      </c>
      <c r="C23" s="287" t="s">
        <v>458</v>
      </c>
      <c r="D23" s="288" t="s">
        <v>409</v>
      </c>
      <c r="E23" s="293">
        <f ca="1">IF(D23="","",(VLOOKUP($D23,master_food_list,'Master Food List'!N$91,FALSE)))</f>
        <v>480</v>
      </c>
      <c r="F23" s="293">
        <f ca="1">IF(E23="","",(VLOOKUP($D23,master_food_list,'Master Food List'!O$91,FALSE)))</f>
        <v>84</v>
      </c>
      <c r="G23" s="293">
        <f ca="1">IF(F23="","",(VLOOKUP($D23,master_food_list,'Master Food List'!P$91,FALSE)))</f>
        <v>30</v>
      </c>
      <c r="H23" s="293">
        <f ca="1">IF(G23="","",(VLOOKUP($D23,master_food_list,'Master Food List'!Q$91,FALSE)))</f>
        <v>3</v>
      </c>
      <c r="I23" s="293">
        <f ca="1">IF(H23="","",(VLOOKUP($D23,master_food_list,'Master Food List'!R$91,FALSE)))</f>
        <v>1530</v>
      </c>
      <c r="J23" s="293">
        <f ca="1">IF(I23="","",(VLOOKUP($D23,master_food_list,'Master Food List'!S$91,FALSE)))</f>
        <v>0</v>
      </c>
      <c r="K23" s="293">
        <f ca="1">IF(J23="","",(VLOOKUP($D23,master_food_list,'Master Food List'!T$91,FALSE)))</f>
        <v>101.93905817174515</v>
      </c>
    </row>
    <row r="24" spans="1:13" customFormat="1" x14ac:dyDescent="0.2">
      <c r="A24" s="286">
        <v>2</v>
      </c>
      <c r="B24" s="287" t="s">
        <v>463</v>
      </c>
      <c r="C24" s="287" t="s">
        <v>457</v>
      </c>
      <c r="D24" s="288" t="s">
        <v>479</v>
      </c>
      <c r="E24" s="293">
        <f ca="1">IF(D24="","",(VLOOKUP($D24,master_food_list,'Master Food List'!N$91,FALSE)))</f>
        <v>300</v>
      </c>
      <c r="F24" s="293">
        <f ca="1">IF(E24="","",(VLOOKUP($D24,master_food_list,'Master Food List'!O$91,FALSE)))</f>
        <v>10.5</v>
      </c>
      <c r="G24" s="293">
        <f ca="1">IF(F24="","",(VLOOKUP($D24,master_food_list,'Master Food List'!P$91,FALSE)))</f>
        <v>10.5</v>
      </c>
      <c r="H24" s="293">
        <f ca="1">IF(G24="","",(VLOOKUP($D24,master_food_list,'Master Food List'!Q$91,FALSE)))</f>
        <v>25.5</v>
      </c>
      <c r="I24" s="293">
        <f ca="1">IF(H24="","",(VLOOKUP($D24,master_food_list,'Master Food List'!R$91,FALSE)))</f>
        <v>150</v>
      </c>
      <c r="J24" s="293">
        <f ca="1">IF(I24="","",(VLOOKUP($D24,master_food_list,'Master Food List'!S$91,FALSE)))</f>
        <v>0</v>
      </c>
      <c r="K24" s="293">
        <f ca="1">IF(J24="","",(VLOOKUP($D24,master_food_list,'Master Food List'!T$91,FALSE)))</f>
        <v>177.77777777777777</v>
      </c>
    </row>
    <row r="25" spans="1:13" customFormat="1" x14ac:dyDescent="0.2">
      <c r="A25" s="286">
        <v>2</v>
      </c>
      <c r="B25" s="287" t="s">
        <v>463</v>
      </c>
      <c r="C25" s="287" t="s">
        <v>455</v>
      </c>
      <c r="D25" s="288" t="s">
        <v>482</v>
      </c>
      <c r="E25" s="293">
        <f ca="1">IF(D25="","",(VLOOKUP($D25,master_food_list,'Master Food List'!N$91,FALSE)))</f>
        <v>110</v>
      </c>
      <c r="F25" s="293">
        <f ca="1">IF(E25="","",(VLOOKUP($D25,master_food_list,'Master Food List'!O$91,FALSE)))</f>
        <v>21</v>
      </c>
      <c r="G25" s="293">
        <f ca="1">IF(F25="","",(VLOOKUP($D25,master_food_list,'Master Food List'!P$91,FALSE)))</f>
        <v>1</v>
      </c>
      <c r="H25" s="293">
        <f ca="1">IF(G25="","",(VLOOKUP($D25,master_food_list,'Master Food List'!Q$91,FALSE)))</f>
        <v>2</v>
      </c>
      <c r="I25" s="293">
        <f ca="1">IF(H25="","",(VLOOKUP($D25,master_food_list,'Master Food List'!R$91,FALSE)))</f>
        <v>150</v>
      </c>
      <c r="J25" s="293">
        <f ca="1">IF(I25="","",(VLOOKUP($D25,master_food_list,'Master Food List'!S$91,FALSE)))</f>
        <v>0</v>
      </c>
      <c r="K25" s="293">
        <f ca="1">IF(J25="","",(VLOOKUP($D25,master_food_list,'Master Food List'!T$91,FALSE)))</f>
        <v>118.27956989247312</v>
      </c>
    </row>
    <row r="26" spans="1:13" customFormat="1" ht="32" x14ac:dyDescent="0.2">
      <c r="A26" s="286">
        <v>3</v>
      </c>
      <c r="B26" s="287" t="s">
        <v>463</v>
      </c>
      <c r="C26" s="287" t="s">
        <v>462</v>
      </c>
      <c r="D26" s="288" t="s">
        <v>485</v>
      </c>
      <c r="E26" s="293">
        <f ca="1">IF(D26="","",(VLOOKUP($D26,master_food_list,'Master Food List'!N$91,FALSE)))</f>
        <v>500</v>
      </c>
      <c r="F26" s="293">
        <f ca="1">IF(E26="","",(VLOOKUP($D26,master_food_list,'Master Food List'!O$91,FALSE)))</f>
        <v>74</v>
      </c>
      <c r="G26" s="293">
        <f ca="1">IF(F26="","",(VLOOKUP($D26,master_food_list,'Master Food List'!P$91,FALSE)))</f>
        <v>16</v>
      </c>
      <c r="H26" s="293">
        <f ca="1">IF(G26="","",(VLOOKUP($D26,master_food_list,'Master Food List'!Q$91,FALSE)))</f>
        <v>18</v>
      </c>
      <c r="I26" s="293">
        <f ca="1">IF(H26="","",(VLOOKUP($D26,master_food_list,'Master Food List'!R$91,FALSE)))</f>
        <v>130</v>
      </c>
      <c r="J26" s="293">
        <f ca="1">IF(I26="","",(VLOOKUP($D26,master_food_list,'Master Food List'!S$91,FALSE)))</f>
        <v>0</v>
      </c>
      <c r="K26" s="293">
        <f ca="1">IF(J26="","",(VLOOKUP($D26,master_food_list,'Master Food List'!T$91,FALSE)))</f>
        <v>126.55024044545685</v>
      </c>
    </row>
    <row r="27" spans="1:13" customFormat="1" ht="32" x14ac:dyDescent="0.2">
      <c r="A27" s="286">
        <v>3</v>
      </c>
      <c r="B27" s="287" t="s">
        <v>463</v>
      </c>
      <c r="C27" s="287" t="s">
        <v>461</v>
      </c>
      <c r="D27" s="288" t="s">
        <v>489</v>
      </c>
      <c r="E27" s="293">
        <f ca="1">IF(D27="","",(VLOOKUP($D27,master_food_list,'Master Food List'!N$91,FALSE)))</f>
        <v>200</v>
      </c>
      <c r="F27" s="293">
        <f ca="1">IF(E27="","",(VLOOKUP($D27,master_food_list,'Master Food List'!O$91,FALSE)))</f>
        <v>25</v>
      </c>
      <c r="G27" s="293">
        <f ca="1">IF(F27="","",(VLOOKUP($D27,master_food_list,'Master Food List'!P$91,FALSE)))</f>
        <v>22.5</v>
      </c>
      <c r="H27" s="293">
        <f ca="1">IF(G27="","",(VLOOKUP($D27,master_food_list,'Master Food List'!Q$91,FALSE)))</f>
        <v>1.25</v>
      </c>
      <c r="I27" s="293">
        <f ca="1">IF(H27="","",(VLOOKUP($D27,master_food_list,'Master Food List'!R$91,FALSE)))</f>
        <v>800</v>
      </c>
      <c r="J27" s="293">
        <f ca="1">IF(I27="","",(VLOOKUP($D27,master_food_list,'Master Food List'!S$91,FALSE)))</f>
        <v>0</v>
      </c>
      <c r="K27" s="293">
        <f ca="1">IF(J27="","",(VLOOKUP($D27,master_food_list,'Master Food List'!T$91,FALSE)))</f>
        <v>74.074074074074076</v>
      </c>
    </row>
    <row r="28" spans="1:13" customFormat="1" x14ac:dyDescent="0.2">
      <c r="A28" s="286">
        <v>3</v>
      </c>
      <c r="B28" s="287" t="s">
        <v>463</v>
      </c>
      <c r="C28" s="287" t="s">
        <v>460</v>
      </c>
      <c r="D28" s="288"/>
      <c r="E28" s="293" t="str">
        <f>IF(D28="","",(VLOOKUP($D28,master_food_list,'Master Food List'!N$91,FALSE)))</f>
        <v/>
      </c>
      <c r="F28" s="293" t="str">
        <f>IF(E28="","",(VLOOKUP($D28,master_food_list,'Master Food List'!O$91,FALSE)))</f>
        <v/>
      </c>
      <c r="G28" s="293" t="str">
        <f>IF(F28="","",(VLOOKUP($D28,master_food_list,'Master Food List'!P$91,FALSE)))</f>
        <v/>
      </c>
      <c r="H28" s="293" t="str">
        <f>IF(G28="","",(VLOOKUP($D28,master_food_list,'Master Food List'!Q$91,FALSE)))</f>
        <v/>
      </c>
      <c r="I28" s="293" t="str">
        <f>IF(H28="","",(VLOOKUP($D28,master_food_list,'Master Food List'!R$91,FALSE)))</f>
        <v/>
      </c>
      <c r="J28" s="293" t="str">
        <f>IF(I28="","",(VLOOKUP($D28,master_food_list,'Master Food List'!S$91,FALSE)))</f>
        <v/>
      </c>
      <c r="K28" s="293" t="str">
        <f>IF(J28="","",(VLOOKUP($D28,master_food_list,'Master Food List'!T$91,FALSE)))</f>
        <v/>
      </c>
    </row>
    <row r="29" spans="1:13" customFormat="1" ht="32" x14ac:dyDescent="0.2">
      <c r="A29" s="286">
        <v>3</v>
      </c>
      <c r="B29" s="287" t="s">
        <v>463</v>
      </c>
      <c r="C29" s="287" t="s">
        <v>459</v>
      </c>
      <c r="D29" s="288" t="s">
        <v>427</v>
      </c>
      <c r="E29" s="293">
        <f ca="1">IF(D29="","",(VLOOKUP($D29,master_food_list,'Master Food List'!N$91,FALSE)))</f>
        <v>300</v>
      </c>
      <c r="F29" s="293">
        <f ca="1">IF(E29="","",(VLOOKUP($D29,master_food_list,'Master Food List'!O$91,FALSE)))</f>
        <v>24</v>
      </c>
      <c r="G29" s="293">
        <f ca="1">IF(F29="","",(VLOOKUP($D29,master_food_list,'Master Food List'!P$91,FALSE)))</f>
        <v>8</v>
      </c>
      <c r="H29" s="293">
        <f ca="1">IF(G29="","",(VLOOKUP($D29,master_food_list,'Master Food List'!Q$91,FALSE)))</f>
        <v>20</v>
      </c>
      <c r="I29" s="293">
        <f ca="1">IF(H29="","",(VLOOKUP($D29,master_food_list,'Master Food List'!R$91,FALSE)))</f>
        <v>120</v>
      </c>
      <c r="J29" s="293">
        <f ca="1">IF(I29="","",(VLOOKUP($D29,master_food_list,'Master Food List'!S$91,FALSE)))</f>
        <v>0</v>
      </c>
      <c r="K29" s="293">
        <f ca="1">IF(J29="","",(VLOOKUP($D29,master_food_list,'Master Food List'!T$91,FALSE)))</f>
        <v>150</v>
      </c>
    </row>
    <row r="30" spans="1:13" customFormat="1" ht="32" x14ac:dyDescent="0.2">
      <c r="A30" s="286">
        <v>3</v>
      </c>
      <c r="B30" s="287" t="s">
        <v>463</v>
      </c>
      <c r="C30" s="287" t="s">
        <v>458</v>
      </c>
      <c r="D30" s="288" t="s">
        <v>491</v>
      </c>
      <c r="E30" s="293">
        <f ca="1">IF(D30="","",(VLOOKUP($D30,master_food_list,'Master Food List'!N$91,FALSE)))</f>
        <v>420</v>
      </c>
      <c r="F30" s="293">
        <f ca="1">IF(E30="","",(VLOOKUP($D30,master_food_list,'Master Food List'!O$91,FALSE)))</f>
        <v>44</v>
      </c>
      <c r="G30" s="293">
        <f ca="1">IF(F30="","",(VLOOKUP($D30,master_food_list,'Master Food List'!P$91,FALSE)))</f>
        <v>44</v>
      </c>
      <c r="H30" s="293">
        <f ca="1">IF(G30="","",(VLOOKUP($D30,master_food_list,'Master Food List'!Q$91,FALSE)))</f>
        <v>7</v>
      </c>
      <c r="I30" s="293">
        <f ca="1">IF(H30="","",(VLOOKUP($D30,master_food_list,'Master Food List'!R$91,FALSE)))</f>
        <v>1620</v>
      </c>
      <c r="J30" s="293">
        <f ca="1">IF(I30="","",(VLOOKUP($D30,master_food_list,'Master Food List'!S$91,FALSE)))</f>
        <v>0</v>
      </c>
      <c r="K30" s="293">
        <f ca="1">IF(J30="","",(VLOOKUP($D30,master_food_list,'Master Food List'!T$91,FALSE)))</f>
        <v>113.5135135135135</v>
      </c>
    </row>
    <row r="31" spans="1:13" customFormat="1" x14ac:dyDescent="0.2">
      <c r="A31" s="286">
        <v>3</v>
      </c>
      <c r="B31" s="287" t="s">
        <v>463</v>
      </c>
      <c r="C31" s="287" t="s">
        <v>457</v>
      </c>
      <c r="D31" s="288" t="s">
        <v>479</v>
      </c>
      <c r="E31" s="293">
        <f ca="1">IF(D31="","",(VLOOKUP($D31,master_food_list,'Master Food List'!N$91,FALSE)))</f>
        <v>300</v>
      </c>
      <c r="F31" s="293">
        <f ca="1">IF(E31="","",(VLOOKUP($D31,master_food_list,'Master Food List'!O$91,FALSE)))</f>
        <v>10.5</v>
      </c>
      <c r="G31" s="293">
        <f ca="1">IF(F31="","",(VLOOKUP($D31,master_food_list,'Master Food List'!P$91,FALSE)))</f>
        <v>10.5</v>
      </c>
      <c r="H31" s="293">
        <f ca="1">IF(G31="","",(VLOOKUP($D31,master_food_list,'Master Food List'!Q$91,FALSE)))</f>
        <v>25.5</v>
      </c>
      <c r="I31" s="293">
        <f ca="1">IF(H31="","",(VLOOKUP($D31,master_food_list,'Master Food List'!R$91,FALSE)))</f>
        <v>150</v>
      </c>
      <c r="J31" s="293">
        <f ca="1">IF(I31="","",(VLOOKUP($D31,master_food_list,'Master Food List'!S$91,FALSE)))</f>
        <v>0</v>
      </c>
      <c r="K31" s="293">
        <f ca="1">IF(J31="","",(VLOOKUP($D31,master_food_list,'Master Food List'!T$91,FALSE)))</f>
        <v>177.77777777777777</v>
      </c>
    </row>
    <row r="32" spans="1:13" customFormat="1" x14ac:dyDescent="0.2">
      <c r="A32" s="286">
        <v>3</v>
      </c>
      <c r="B32" s="287" t="s">
        <v>463</v>
      </c>
      <c r="C32" s="287" t="s">
        <v>455</v>
      </c>
      <c r="D32" s="288" t="s">
        <v>484</v>
      </c>
      <c r="E32" s="293">
        <f ca="1">IF(D32="","",(VLOOKUP($D32,master_food_list,'Master Food List'!N$91,FALSE)))</f>
        <v>540</v>
      </c>
      <c r="F32" s="293">
        <f ca="1">IF(E32="","",(VLOOKUP($D32,master_food_list,'Master Food List'!O$91,FALSE)))</f>
        <v>72</v>
      </c>
      <c r="G32" s="293">
        <f ca="1">IF(F32="","",(VLOOKUP($D32,master_food_list,'Master Food List'!P$91,FALSE)))</f>
        <v>14</v>
      </c>
      <c r="H32" s="293">
        <f ca="1">IF(G32="","",(VLOOKUP($D32,master_food_list,'Master Food List'!Q$91,FALSE)))</f>
        <v>22</v>
      </c>
      <c r="I32" s="293">
        <f ca="1">IF(H32="","",(VLOOKUP($D32,master_food_list,'Master Food List'!R$91,FALSE)))</f>
        <v>780</v>
      </c>
      <c r="J32" s="293">
        <f ca="1">IF(I32="","",(VLOOKUP($D32,master_food_list,'Master Food List'!S$91,FALSE)))</f>
        <v>0</v>
      </c>
      <c r="K32" s="293">
        <f ca="1">IF(J32="","",(VLOOKUP($D32,master_food_list,'Master Food List'!T$91,FALSE)))</f>
        <v>117.39130434782609</v>
      </c>
    </row>
    <row r="33" spans="1:11" s="189" customFormat="1" ht="32" x14ac:dyDescent="0.2">
      <c r="A33" s="290">
        <v>4</v>
      </c>
      <c r="B33" s="283" t="s">
        <v>463</v>
      </c>
      <c r="C33" s="283" t="s">
        <v>462</v>
      </c>
      <c r="D33" s="284" t="s">
        <v>480</v>
      </c>
      <c r="E33" s="292">
        <f ca="1">IF(D33="","",(VLOOKUP($D33,master_food_list,'Master Food List'!N$91,FALSE)))</f>
        <v>620</v>
      </c>
      <c r="F33" s="292">
        <f ca="1">IF(E33="","",(VLOOKUP($D33,master_food_list,'Master Food List'!O$91,FALSE)))</f>
        <v>74</v>
      </c>
      <c r="G33" s="292">
        <f ca="1">IF(F33="","",(VLOOKUP($D33,master_food_list,'Master Food List'!P$91,FALSE)))</f>
        <v>16</v>
      </c>
      <c r="H33" s="292">
        <f ca="1">IF(G33="","",(VLOOKUP($D33,master_food_list,'Master Food List'!Q$91,FALSE)))</f>
        <v>31</v>
      </c>
      <c r="I33" s="292">
        <f ca="1">IF(H33="","",(VLOOKUP($D33,master_food_list,'Master Food List'!R$91,FALSE)))</f>
        <v>280</v>
      </c>
      <c r="J33" s="292">
        <f ca="1">IF(I33="","",(VLOOKUP($D33,master_food_list,'Master Food List'!S$91,FALSE)))</f>
        <v>0</v>
      </c>
      <c r="K33" s="292">
        <f ca="1">IF(J33="","",(VLOOKUP($D33,master_food_list,'Master Food List'!T$91,FALSE)))</f>
        <v>130.52631578947367</v>
      </c>
    </row>
    <row r="34" spans="1:11" s="189" customFormat="1" ht="32" x14ac:dyDescent="0.2">
      <c r="A34" s="282">
        <v>4</v>
      </c>
      <c r="B34" s="283" t="s">
        <v>463</v>
      </c>
      <c r="C34" s="283" t="s">
        <v>461</v>
      </c>
      <c r="D34" s="284" t="s">
        <v>347</v>
      </c>
      <c r="E34" s="292">
        <f ca="1">IF(D34="","",(VLOOKUP($D34,master_food_list,'Master Food List'!N$91,FALSE)))</f>
        <v>665</v>
      </c>
      <c r="F34" s="292">
        <f ca="1">IF(E34="","",(VLOOKUP($D34,master_food_list,'Master Food List'!O$91,FALSE)))</f>
        <v>0</v>
      </c>
      <c r="G34" s="292">
        <f ca="1">IF(F34="","",(VLOOKUP($D34,master_food_list,'Master Food List'!P$91,FALSE)))</f>
        <v>35</v>
      </c>
      <c r="H34" s="292">
        <f ca="1">IF(G34="","",(VLOOKUP($D34,master_food_list,'Master Food List'!Q$91,FALSE)))</f>
        <v>56</v>
      </c>
      <c r="I34" s="292">
        <f ca="1">IF(H34="","",(VLOOKUP($D34,master_food_list,'Master Food List'!R$91,FALSE)))</f>
        <v>2415</v>
      </c>
      <c r="J34" s="292">
        <f ca="1">IF(I34="","",(VLOOKUP($D34,master_food_list,'Master Food List'!S$91,FALSE)))</f>
        <v>0</v>
      </c>
      <c r="K34" s="292">
        <f ca="1">IF(J34="","",(VLOOKUP($D34,master_food_list,'Master Food List'!T$91,FALSE)))</f>
        <v>180.70652173913044</v>
      </c>
    </row>
    <row r="35" spans="1:11" s="189" customFormat="1" x14ac:dyDescent="0.2">
      <c r="A35" s="282">
        <v>4</v>
      </c>
      <c r="B35" s="283" t="s">
        <v>463</v>
      </c>
      <c r="C35" s="283" t="s">
        <v>460</v>
      </c>
      <c r="D35" s="284"/>
      <c r="E35" s="292" t="str">
        <f>IF(D35="","",(VLOOKUP($D35,master_food_list,'Master Food List'!N$91,FALSE)))</f>
        <v/>
      </c>
      <c r="F35" s="292" t="str">
        <f>IF(E35="","",(VLOOKUP($D35,master_food_list,'Master Food List'!O$91,FALSE)))</f>
        <v/>
      </c>
      <c r="G35" s="292" t="str">
        <f>IF(F35="","",(VLOOKUP($D35,master_food_list,'Master Food List'!P$91,FALSE)))</f>
        <v/>
      </c>
      <c r="H35" s="292" t="str">
        <f>IF(G35="","",(VLOOKUP($D35,master_food_list,'Master Food List'!Q$91,FALSE)))</f>
        <v/>
      </c>
      <c r="I35" s="292" t="str">
        <f>IF(H35="","",(VLOOKUP($D35,master_food_list,'Master Food List'!R$91,FALSE)))</f>
        <v/>
      </c>
      <c r="J35" s="292" t="str">
        <f>IF(I35="","",(VLOOKUP($D35,master_food_list,'Master Food List'!S$91,FALSE)))</f>
        <v/>
      </c>
      <c r="K35" s="292" t="str">
        <f>IF(J35="","",(VLOOKUP($D35,master_food_list,'Master Food List'!T$91,FALSE)))</f>
        <v/>
      </c>
    </row>
    <row r="36" spans="1:11" s="189" customFormat="1" ht="51" x14ac:dyDescent="0.2">
      <c r="A36" s="282">
        <v>4</v>
      </c>
      <c r="B36" s="283" t="s">
        <v>463</v>
      </c>
      <c r="C36" s="283" t="s">
        <v>459</v>
      </c>
      <c r="D36" s="284" t="s">
        <v>433</v>
      </c>
      <c r="E36" s="292">
        <f ca="1">IF(D36="","",(VLOOKUP($D36,master_food_list,'Master Food List'!N$91,FALSE)))</f>
        <v>280</v>
      </c>
      <c r="F36" s="292">
        <f ca="1">IF(E36="","",(VLOOKUP($D36,master_food_list,'Master Food List'!O$91,FALSE)))</f>
        <v>34</v>
      </c>
      <c r="G36" s="292">
        <f ca="1">IF(F36="","",(VLOOKUP($D36,master_food_list,'Master Food List'!P$91,FALSE)))</f>
        <v>2</v>
      </c>
      <c r="H36" s="292">
        <f ca="1">IF(G36="","",(VLOOKUP($D36,master_food_list,'Master Food List'!Q$91,FALSE)))</f>
        <v>17</v>
      </c>
      <c r="I36" s="292">
        <f ca="1">IF(H36="","",(VLOOKUP($D36,master_food_list,'Master Food List'!R$91,FALSE)))</f>
        <v>0</v>
      </c>
      <c r="J36" s="292">
        <f ca="1">IF(I36="","",(VLOOKUP($D36,master_food_list,'Master Food List'!S$91,FALSE)))</f>
        <v>0</v>
      </c>
      <c r="K36" s="292">
        <f ca="1">IF(J36="","",(VLOOKUP($D36,master_food_list,'Master Food List'!T$91,FALSE)))</f>
        <v>140</v>
      </c>
    </row>
    <row r="37" spans="1:11" s="189" customFormat="1" ht="34" x14ac:dyDescent="0.2">
      <c r="A37" s="282">
        <v>4</v>
      </c>
      <c r="B37" s="283" t="s">
        <v>463</v>
      </c>
      <c r="C37" s="283" t="s">
        <v>458</v>
      </c>
      <c r="D37" s="284" t="s">
        <v>492</v>
      </c>
      <c r="E37" s="292">
        <f ca="1">IF(D37="","",(VLOOKUP($D37,master_food_list,'Master Food List'!N$91,FALSE)))</f>
        <v>620</v>
      </c>
      <c r="F37" s="292">
        <f ca="1">IF(E37="","",(VLOOKUP($D37,master_food_list,'Master Food List'!O$91,FALSE)))</f>
        <v>90</v>
      </c>
      <c r="G37" s="292">
        <f ca="1">IF(F37="","",(VLOOKUP($D37,master_food_list,'Master Food List'!P$91,FALSE)))</f>
        <v>28</v>
      </c>
      <c r="H37" s="292">
        <f ca="1">IF(G37="","",(VLOOKUP($D37,master_food_list,'Master Food List'!Q$91,FALSE)))</f>
        <v>20</v>
      </c>
      <c r="I37" s="292">
        <f ca="1">IF(H37="","",(VLOOKUP($D37,master_food_list,'Master Food List'!R$91,FALSE)))</f>
        <v>1340</v>
      </c>
      <c r="J37" s="292">
        <f ca="1">IF(I37="","",(VLOOKUP($D37,master_food_list,'Master Food List'!S$91,FALSE)))</f>
        <v>0</v>
      </c>
      <c r="K37" s="292">
        <f ca="1">IF(J37="","",(VLOOKUP($D37,master_food_list,'Master Food List'!T$91,FALSE)))</f>
        <v>122.04724409448819</v>
      </c>
    </row>
    <row r="38" spans="1:11" s="189" customFormat="1" ht="17" x14ac:dyDescent="0.2">
      <c r="A38" s="282">
        <v>4</v>
      </c>
      <c r="B38" s="283" t="s">
        <v>463</v>
      </c>
      <c r="C38" s="283" t="s">
        <v>457</v>
      </c>
      <c r="D38" s="284" t="s">
        <v>479</v>
      </c>
      <c r="E38" s="292">
        <f ca="1">IF(D38="","",(VLOOKUP($D38,master_food_list,'Master Food List'!N$91,FALSE)))</f>
        <v>300</v>
      </c>
      <c r="F38" s="292">
        <f ca="1">IF(E38="","",(VLOOKUP($D38,master_food_list,'Master Food List'!O$91,FALSE)))</f>
        <v>10.5</v>
      </c>
      <c r="G38" s="292">
        <f ca="1">IF(F38="","",(VLOOKUP($D38,master_food_list,'Master Food List'!P$91,FALSE)))</f>
        <v>10.5</v>
      </c>
      <c r="H38" s="292">
        <f ca="1">IF(G38="","",(VLOOKUP($D38,master_food_list,'Master Food List'!Q$91,FALSE)))</f>
        <v>25.5</v>
      </c>
      <c r="I38" s="292">
        <f ca="1">IF(H38="","",(VLOOKUP($D38,master_food_list,'Master Food List'!R$91,FALSE)))</f>
        <v>150</v>
      </c>
      <c r="J38" s="292">
        <f ca="1">IF(I38="","",(VLOOKUP($D38,master_food_list,'Master Food List'!S$91,FALSE)))</f>
        <v>0</v>
      </c>
      <c r="K38" s="292">
        <f ca="1">IF(J38="","",(VLOOKUP($D38,master_food_list,'Master Food List'!T$91,FALSE)))</f>
        <v>177.77777777777777</v>
      </c>
    </row>
    <row r="39" spans="1:11" s="189" customFormat="1" ht="17" x14ac:dyDescent="0.2">
      <c r="A39" s="282">
        <v>4</v>
      </c>
      <c r="B39" s="283" t="s">
        <v>463</v>
      </c>
      <c r="C39" s="283" t="s">
        <v>455</v>
      </c>
      <c r="D39" s="284" t="s">
        <v>313</v>
      </c>
      <c r="E39" s="292">
        <f ca="1">IF(D39="","",(VLOOKUP($D39,master_food_list,'Master Food List'!N$91,FALSE)))</f>
        <v>170</v>
      </c>
      <c r="F39" s="292">
        <f ca="1">IF(E39="","",(VLOOKUP($D39,master_food_list,'Master Food List'!O$91,FALSE)))</f>
        <v>28</v>
      </c>
      <c r="G39" s="292">
        <f ca="1">IF(F39="","",(VLOOKUP($D39,master_food_list,'Master Food List'!P$91,FALSE)))</f>
        <v>2</v>
      </c>
      <c r="H39" s="292">
        <f ca="1">IF(G39="","",(VLOOKUP($D39,master_food_list,'Master Food List'!Q$91,FALSE)))</f>
        <v>6</v>
      </c>
      <c r="I39" s="292">
        <f ca="1">IF(H39="","",(VLOOKUP($D39,master_food_list,'Master Food List'!R$91,FALSE)))</f>
        <v>135</v>
      </c>
      <c r="J39" s="292">
        <f ca="1">IF(I39="","",(VLOOKUP($D39,master_food_list,'Master Food List'!S$91,FALSE)))</f>
        <v>0</v>
      </c>
      <c r="K39" s="292">
        <f ca="1">IF(J39="","",(VLOOKUP($D39,master_food_list,'Master Food List'!T$91,FALSE)))</f>
        <v>150.44247787610621</v>
      </c>
    </row>
    <row r="40" spans="1:11" customFormat="1" ht="34" x14ac:dyDescent="0.2">
      <c r="A40" s="286">
        <v>5</v>
      </c>
      <c r="B40" s="287" t="s">
        <v>463</v>
      </c>
      <c r="C40" s="287" t="s">
        <v>462</v>
      </c>
      <c r="D40" s="288" t="s">
        <v>480</v>
      </c>
      <c r="E40" s="293">
        <f ca="1">IF(D40="","",(VLOOKUP($D40,master_food_list,'Master Food List'!N$91,FALSE)))</f>
        <v>620</v>
      </c>
      <c r="F40" s="293">
        <f ca="1">IF(E40="","",(VLOOKUP($D40,master_food_list,'Master Food List'!O$91,FALSE)))</f>
        <v>74</v>
      </c>
      <c r="G40" s="293">
        <f ca="1">IF(F40="","",(VLOOKUP($D40,master_food_list,'Master Food List'!P$91,FALSE)))</f>
        <v>16</v>
      </c>
      <c r="H40" s="293">
        <f ca="1">IF(G40="","",(VLOOKUP($D40,master_food_list,'Master Food List'!Q$91,FALSE)))</f>
        <v>31</v>
      </c>
      <c r="I40" s="293">
        <f ca="1">IF(H40="","",(VLOOKUP($D40,master_food_list,'Master Food List'!R$91,FALSE)))</f>
        <v>280</v>
      </c>
      <c r="J40" s="293">
        <f ca="1">IF(I40="","",(VLOOKUP($D40,master_food_list,'Master Food List'!S$91,FALSE)))</f>
        <v>0</v>
      </c>
      <c r="K40" s="293">
        <f ca="1">IF(J40="","",(VLOOKUP($D40,master_food_list,'Master Food List'!T$91,FALSE)))</f>
        <v>130.52631578947367</v>
      </c>
    </row>
    <row r="41" spans="1:11" customFormat="1" ht="34" x14ac:dyDescent="0.2">
      <c r="A41" s="286">
        <v>5</v>
      </c>
      <c r="B41" s="287" t="s">
        <v>463</v>
      </c>
      <c r="C41" s="287" t="s">
        <v>461</v>
      </c>
      <c r="D41" s="288" t="s">
        <v>490</v>
      </c>
      <c r="E41" s="293">
        <f ca="1">IF(D41="","",(VLOOKUP($D41,master_food_list,'Master Food List'!N$91,FALSE)))</f>
        <v>225</v>
      </c>
      <c r="F41" s="293">
        <f ca="1">IF(E41="","",(VLOOKUP($D41,master_food_list,'Master Food List'!O$91,FALSE)))</f>
        <v>30</v>
      </c>
      <c r="G41" s="293">
        <f ca="1">IF(F41="","",(VLOOKUP($D41,master_food_list,'Master Food List'!P$91,FALSE)))</f>
        <v>20</v>
      </c>
      <c r="H41" s="293">
        <f ca="1">IF(G41="","",(VLOOKUP($D41,master_food_list,'Master Food List'!Q$91,FALSE)))</f>
        <v>3.75</v>
      </c>
      <c r="I41" s="293">
        <f ca="1">IF(H41="","",(VLOOKUP($D41,master_food_list,'Master Food List'!R$91,FALSE)))</f>
        <v>875</v>
      </c>
      <c r="J41" s="293">
        <f ca="1">IF(I41="","",(VLOOKUP($D41,master_food_list,'Master Food List'!S$91,FALSE)))</f>
        <v>0</v>
      </c>
      <c r="K41" s="293">
        <f ca="1">IF(J41="","",(VLOOKUP($D41,master_food_list,'Master Food List'!T$91,FALSE)))</f>
        <v>83.333333333333329</v>
      </c>
    </row>
    <row r="42" spans="1:11" customFormat="1" ht="17" x14ac:dyDescent="0.2">
      <c r="A42" s="286">
        <v>5</v>
      </c>
      <c r="B42" s="287" t="s">
        <v>463</v>
      </c>
      <c r="C42" s="287" t="s">
        <v>460</v>
      </c>
      <c r="D42" s="288"/>
      <c r="E42" s="293" t="str">
        <f>IF(D42="","",(VLOOKUP($D42,master_food_list,'Master Food List'!N$91,FALSE)))</f>
        <v/>
      </c>
      <c r="F42" s="293" t="str">
        <f>IF(E42="","",(VLOOKUP($D42,master_food_list,'Master Food List'!O$91,FALSE)))</f>
        <v/>
      </c>
      <c r="G42" s="293" t="str">
        <f>IF(F42="","",(VLOOKUP($D42,master_food_list,'Master Food List'!P$91,FALSE)))</f>
        <v/>
      </c>
      <c r="H42" s="293" t="str">
        <f>IF(G42="","",(VLOOKUP($D42,master_food_list,'Master Food List'!Q$91,FALSE)))</f>
        <v/>
      </c>
      <c r="I42" s="293" t="str">
        <f>IF(H42="","",(VLOOKUP($D42,master_food_list,'Master Food List'!R$91,FALSE)))</f>
        <v/>
      </c>
      <c r="J42" s="293" t="str">
        <f>IF(I42="","",(VLOOKUP($D42,master_food_list,'Master Food List'!S$91,FALSE)))</f>
        <v/>
      </c>
      <c r="K42" s="293" t="str">
        <f>IF(J42="","",(VLOOKUP($D42,master_food_list,'Master Food List'!T$91,FALSE)))</f>
        <v/>
      </c>
    </row>
    <row r="43" spans="1:11" customFormat="1" ht="51" x14ac:dyDescent="0.2">
      <c r="A43" s="286">
        <v>5</v>
      </c>
      <c r="B43" s="287" t="s">
        <v>463</v>
      </c>
      <c r="C43" s="287" t="s">
        <v>459</v>
      </c>
      <c r="D43" s="288" t="s">
        <v>430</v>
      </c>
      <c r="E43" s="293">
        <f ca="1">IF(D43="","",(VLOOKUP($D43,master_food_list,'Master Food List'!N$91,FALSE)))</f>
        <v>510</v>
      </c>
      <c r="F43" s="293">
        <f ca="1">IF(E43="","",(VLOOKUP($D43,master_food_list,'Master Food List'!O$91,FALSE)))</f>
        <v>42</v>
      </c>
      <c r="G43" s="293">
        <f ca="1">IF(F43="","",(VLOOKUP($D43,master_food_list,'Master Food List'!P$91,FALSE)))</f>
        <v>10.5</v>
      </c>
      <c r="H43" s="293">
        <f ca="1">IF(G43="","",(VLOOKUP($D43,master_food_list,'Master Food List'!Q$91,FALSE)))</f>
        <v>33</v>
      </c>
      <c r="I43" s="293">
        <f ca="1">IF(H43="","",(VLOOKUP($D43,master_food_list,'Master Food List'!R$91,FALSE)))</f>
        <v>75</v>
      </c>
      <c r="J43" s="293">
        <f ca="1">IF(I43="","",(VLOOKUP($D43,master_food_list,'Master Food List'!S$91,FALSE)))</f>
        <v>0</v>
      </c>
      <c r="K43" s="293">
        <f ca="1">IF(J43="","",(VLOOKUP($D43,master_food_list,'Master Food List'!T$91,FALSE)))</f>
        <v>170</v>
      </c>
    </row>
    <row r="44" spans="1:11" customFormat="1" ht="17" x14ac:dyDescent="0.2">
      <c r="A44" s="286">
        <v>5</v>
      </c>
      <c r="B44" s="287" t="s">
        <v>463</v>
      </c>
      <c r="C44" s="287" t="s">
        <v>458</v>
      </c>
      <c r="D44" s="288" t="s">
        <v>439</v>
      </c>
      <c r="E44" s="293">
        <f ca="1">IF(D44="","",(VLOOKUP($D44,master_food_list,'Master Food List'!N$91,FALSE)))</f>
        <v>540</v>
      </c>
      <c r="F44" s="293">
        <f ca="1">IF(E44="","",(VLOOKUP($D44,master_food_list,'Master Food List'!O$91,FALSE)))</f>
        <v>100</v>
      </c>
      <c r="G44" s="293">
        <f ca="1">IF(F44="","",(VLOOKUP($D44,master_food_list,'Master Food List'!P$91,FALSE)))</f>
        <v>32</v>
      </c>
      <c r="H44" s="293">
        <f ca="1">IF(G44="","",(VLOOKUP($D44,master_food_list,'Master Food List'!Q$91,FALSE)))</f>
        <v>4</v>
      </c>
      <c r="I44" s="293">
        <f ca="1">IF(H44="","",(VLOOKUP($D44,master_food_list,'Master Food List'!R$91,FALSE)))</f>
        <v>1260</v>
      </c>
      <c r="J44" s="293">
        <f ca="1">IF(I44="","",(VLOOKUP($D44,master_food_list,'Master Food List'!S$91,FALSE)))</f>
        <v>0</v>
      </c>
      <c r="K44" s="293">
        <f ca="1">IF(J44="","",(VLOOKUP($D44,master_food_list,'Master Food List'!T$91,FALSE)))</f>
        <v>98.181818181818187</v>
      </c>
    </row>
    <row r="45" spans="1:11" customFormat="1" ht="17" x14ac:dyDescent="0.2">
      <c r="A45" s="286">
        <v>5</v>
      </c>
      <c r="B45" s="287" t="s">
        <v>463</v>
      </c>
      <c r="C45" s="287" t="s">
        <v>457</v>
      </c>
      <c r="D45" s="288" t="s">
        <v>479</v>
      </c>
      <c r="E45" s="293">
        <f ca="1">IF(D45="","",(VLOOKUP($D45,master_food_list,'Master Food List'!N$91,FALSE)))</f>
        <v>300</v>
      </c>
      <c r="F45" s="293">
        <f ca="1">IF(E45="","",(VLOOKUP($D45,master_food_list,'Master Food List'!O$91,FALSE)))</f>
        <v>10.5</v>
      </c>
      <c r="G45" s="293">
        <f ca="1">IF(F45="","",(VLOOKUP($D45,master_food_list,'Master Food List'!P$91,FALSE)))</f>
        <v>10.5</v>
      </c>
      <c r="H45" s="293">
        <f ca="1">IF(G45="","",(VLOOKUP($D45,master_food_list,'Master Food List'!Q$91,FALSE)))</f>
        <v>25.5</v>
      </c>
      <c r="I45" s="293">
        <f ca="1">IF(H45="","",(VLOOKUP($D45,master_food_list,'Master Food List'!R$91,FALSE)))</f>
        <v>150</v>
      </c>
      <c r="J45" s="293">
        <f ca="1">IF(I45="","",(VLOOKUP($D45,master_food_list,'Master Food List'!S$91,FALSE)))</f>
        <v>0</v>
      </c>
      <c r="K45" s="293">
        <f ca="1">IF(J45="","",(VLOOKUP($D45,master_food_list,'Master Food List'!T$91,FALSE)))</f>
        <v>177.77777777777777</v>
      </c>
    </row>
    <row r="46" spans="1:11" customFormat="1" ht="17" x14ac:dyDescent="0.2">
      <c r="A46" s="286">
        <v>5</v>
      </c>
      <c r="B46" s="287" t="s">
        <v>463</v>
      </c>
      <c r="C46" s="287" t="s">
        <v>455</v>
      </c>
      <c r="D46" s="288" t="s">
        <v>482</v>
      </c>
      <c r="E46" s="293">
        <f ca="1">IF(D46="","",(VLOOKUP($D46,master_food_list,'Master Food List'!N$91,FALSE)))</f>
        <v>110</v>
      </c>
      <c r="F46" s="293">
        <f ca="1">IF(E46="","",(VLOOKUP($D46,master_food_list,'Master Food List'!O$91,FALSE)))</f>
        <v>21</v>
      </c>
      <c r="G46" s="293">
        <f ca="1">IF(F46="","",(VLOOKUP($D46,master_food_list,'Master Food List'!P$91,FALSE)))</f>
        <v>1</v>
      </c>
      <c r="H46" s="293">
        <f ca="1">IF(G46="","",(VLOOKUP($D46,master_food_list,'Master Food List'!Q$91,FALSE)))</f>
        <v>2</v>
      </c>
      <c r="I46" s="293">
        <f ca="1">IF(H46="","",(VLOOKUP($D46,master_food_list,'Master Food List'!R$91,FALSE)))</f>
        <v>150</v>
      </c>
      <c r="J46" s="293">
        <f ca="1">IF(I46="","",(VLOOKUP($D46,master_food_list,'Master Food List'!S$91,FALSE)))</f>
        <v>0</v>
      </c>
      <c r="K46" s="293">
        <f ca="1">IF(J46="","",(VLOOKUP($D46,master_food_list,'Master Food List'!T$91,FALSE)))</f>
        <v>118.27956989247312</v>
      </c>
    </row>
    <row r="47" spans="1:11" customFormat="1" ht="34" x14ac:dyDescent="0.2">
      <c r="A47" s="286">
        <v>6</v>
      </c>
      <c r="B47" s="287" t="s">
        <v>463</v>
      </c>
      <c r="C47" s="287" t="s">
        <v>462</v>
      </c>
      <c r="D47" s="288" t="s">
        <v>485</v>
      </c>
      <c r="E47" s="293">
        <f ca="1">IF(D47="","",(VLOOKUP($D47,master_food_list,'Master Food List'!N$91,FALSE)))</f>
        <v>500</v>
      </c>
      <c r="F47" s="293">
        <f ca="1">IF(E47="","",(VLOOKUP($D47,master_food_list,'Master Food List'!O$91,FALSE)))</f>
        <v>74</v>
      </c>
      <c r="G47" s="293">
        <f ca="1">IF(F47="","",(VLOOKUP($D47,master_food_list,'Master Food List'!P$91,FALSE)))</f>
        <v>16</v>
      </c>
      <c r="H47" s="293">
        <f ca="1">IF(G47="","",(VLOOKUP($D47,master_food_list,'Master Food List'!Q$91,FALSE)))</f>
        <v>18</v>
      </c>
      <c r="I47" s="293">
        <f ca="1">IF(H47="","",(VLOOKUP($D47,master_food_list,'Master Food List'!R$91,FALSE)))</f>
        <v>130</v>
      </c>
      <c r="J47" s="293">
        <f ca="1">IF(I47="","",(VLOOKUP($D47,master_food_list,'Master Food List'!S$91,FALSE)))</f>
        <v>0</v>
      </c>
      <c r="K47" s="293">
        <f ca="1">IF(J47="","",(VLOOKUP($D47,master_food_list,'Master Food List'!T$91,FALSE)))</f>
        <v>126.55024044545685</v>
      </c>
    </row>
    <row r="48" spans="1:11" customFormat="1" ht="34" x14ac:dyDescent="0.2">
      <c r="A48" s="286">
        <v>6</v>
      </c>
      <c r="B48" s="287" t="s">
        <v>463</v>
      </c>
      <c r="C48" s="287" t="s">
        <v>461</v>
      </c>
      <c r="D48" s="288" t="s">
        <v>487</v>
      </c>
      <c r="E48" s="293">
        <f ca="1">IF(D48="","",(VLOOKUP($D48,master_food_list,'Master Food List'!N$91,FALSE)))</f>
        <v>225</v>
      </c>
      <c r="F48" s="293">
        <f ca="1">IF(E48="","",(VLOOKUP($D48,master_food_list,'Master Food List'!O$91,FALSE)))</f>
        <v>30</v>
      </c>
      <c r="G48" s="293">
        <f ca="1">IF(F48="","",(VLOOKUP($D48,master_food_list,'Master Food List'!P$91,FALSE)))</f>
        <v>20</v>
      </c>
      <c r="H48" s="293">
        <f ca="1">IF(G48="","",(VLOOKUP($D48,master_food_list,'Master Food List'!Q$91,FALSE)))</f>
        <v>3.75</v>
      </c>
      <c r="I48" s="293">
        <f ca="1">IF(H48="","",(VLOOKUP($D48,master_food_list,'Master Food List'!R$91,FALSE)))</f>
        <v>950</v>
      </c>
      <c r="J48" s="293">
        <f ca="1">IF(I48="","",(VLOOKUP($D48,master_food_list,'Master Food List'!S$91,FALSE)))</f>
        <v>0</v>
      </c>
      <c r="K48" s="293">
        <f ca="1">IF(J48="","",(VLOOKUP($D48,master_food_list,'Master Food List'!T$91,FALSE)))</f>
        <v>83.333333333333329</v>
      </c>
    </row>
    <row r="49" spans="1:11" customFormat="1" ht="17" x14ac:dyDescent="0.2">
      <c r="A49" s="286">
        <v>6</v>
      </c>
      <c r="B49" s="287" t="s">
        <v>463</v>
      </c>
      <c r="C49" s="287" t="s">
        <v>460</v>
      </c>
      <c r="D49" s="288"/>
      <c r="E49" s="293" t="str">
        <f>IF(D49="","",(VLOOKUP($D49,master_food_list,'Master Food List'!N$91,FALSE)))</f>
        <v/>
      </c>
      <c r="F49" s="293" t="str">
        <f>IF(E49="","",(VLOOKUP($D49,master_food_list,'Master Food List'!O$91,FALSE)))</f>
        <v/>
      </c>
      <c r="G49" s="293" t="str">
        <f>IF(F49="","",(VLOOKUP($D49,master_food_list,'Master Food List'!P$91,FALSE)))</f>
        <v/>
      </c>
      <c r="H49" s="293" t="str">
        <f>IF(G49="","",(VLOOKUP($D49,master_food_list,'Master Food List'!Q$91,FALSE)))</f>
        <v/>
      </c>
      <c r="I49" s="293" t="str">
        <f>IF(H49="","",(VLOOKUP($D49,master_food_list,'Master Food List'!R$91,FALSE)))</f>
        <v/>
      </c>
      <c r="J49" s="293" t="str">
        <f>IF(I49="","",(VLOOKUP($D49,master_food_list,'Master Food List'!S$91,FALSE)))</f>
        <v/>
      </c>
      <c r="K49" s="293" t="str">
        <f>IF(J49="","",(VLOOKUP($D49,master_food_list,'Master Food List'!T$91,FALSE)))</f>
        <v/>
      </c>
    </row>
    <row r="50" spans="1:11" customFormat="1" ht="51" x14ac:dyDescent="0.2">
      <c r="A50" s="286">
        <v>6</v>
      </c>
      <c r="B50" s="287" t="s">
        <v>463</v>
      </c>
      <c r="C50" s="287" t="s">
        <v>459</v>
      </c>
      <c r="D50" s="288" t="s">
        <v>430</v>
      </c>
      <c r="E50" s="293">
        <f ca="1">IF(D50="","",(VLOOKUP($D50,master_food_list,'Master Food List'!N$91,FALSE)))</f>
        <v>510</v>
      </c>
      <c r="F50" s="293">
        <f ca="1">IF(E50="","",(VLOOKUP($D50,master_food_list,'Master Food List'!O$91,FALSE)))</f>
        <v>42</v>
      </c>
      <c r="G50" s="293">
        <f ca="1">IF(F50="","",(VLOOKUP($D50,master_food_list,'Master Food List'!P$91,FALSE)))</f>
        <v>10.5</v>
      </c>
      <c r="H50" s="293">
        <f ca="1">IF(G50="","",(VLOOKUP($D50,master_food_list,'Master Food List'!Q$91,FALSE)))</f>
        <v>33</v>
      </c>
      <c r="I50" s="293">
        <f ca="1">IF(H50="","",(VLOOKUP($D50,master_food_list,'Master Food List'!R$91,FALSE)))</f>
        <v>75</v>
      </c>
      <c r="J50" s="293">
        <f ca="1">IF(I50="","",(VLOOKUP($D50,master_food_list,'Master Food List'!S$91,FALSE)))</f>
        <v>0</v>
      </c>
      <c r="K50" s="293">
        <f ca="1">IF(J50="","",(VLOOKUP($D50,master_food_list,'Master Food List'!T$91,FALSE)))</f>
        <v>170</v>
      </c>
    </row>
    <row r="51" spans="1:11" customFormat="1" ht="34" x14ac:dyDescent="0.2">
      <c r="A51" s="286">
        <v>6</v>
      </c>
      <c r="B51" s="287" t="s">
        <v>463</v>
      </c>
      <c r="C51" s="287" t="s">
        <v>458</v>
      </c>
      <c r="D51" s="288" t="s">
        <v>486</v>
      </c>
      <c r="E51" s="293">
        <f ca="1">IF(D51="","",(VLOOKUP($D51,master_food_list,'Master Food List'!N$91,FALSE)))</f>
        <v>960</v>
      </c>
      <c r="F51" s="293">
        <f ca="1">IF(E51="","",(VLOOKUP($D51,master_food_list,'Master Food List'!O$91,FALSE)))</f>
        <v>178</v>
      </c>
      <c r="G51" s="293">
        <f ca="1">IF(F51="","",(VLOOKUP($D51,master_food_list,'Master Food List'!P$91,FALSE)))</f>
        <v>34</v>
      </c>
      <c r="H51" s="293">
        <f ca="1">IF(G51="","",(VLOOKUP($D51,master_food_list,'Master Food List'!Q$91,FALSE)))</f>
        <v>12</v>
      </c>
      <c r="I51" s="293">
        <f ca="1">IF(H51="","",(VLOOKUP($D51,master_food_list,'Master Food List'!R$91,FALSE)))</f>
        <v>1620</v>
      </c>
      <c r="J51" s="293">
        <f ca="1">IF(I51="","",(VLOOKUP($D51,master_food_list,'Master Food List'!S$91,FALSE)))</f>
        <v>0</v>
      </c>
      <c r="K51" s="293">
        <f ca="1">IF(J51="","",(VLOOKUP($D51,master_food_list,'Master Food List'!T$91,FALSE)))</f>
        <v>109.09090909090908</v>
      </c>
    </row>
    <row r="52" spans="1:11" customFormat="1" ht="17" x14ac:dyDescent="0.2">
      <c r="A52" s="286">
        <v>6</v>
      </c>
      <c r="B52" s="287" t="s">
        <v>463</v>
      </c>
      <c r="C52" s="287" t="s">
        <v>457</v>
      </c>
      <c r="D52" s="288" t="s">
        <v>479</v>
      </c>
      <c r="E52" s="293">
        <f ca="1">IF(D52="","",(VLOOKUP($D52,master_food_list,'Master Food List'!N$91,FALSE)))</f>
        <v>300</v>
      </c>
      <c r="F52" s="293">
        <f ca="1">IF(E52="","",(VLOOKUP($D52,master_food_list,'Master Food List'!O$91,FALSE)))</f>
        <v>10.5</v>
      </c>
      <c r="G52" s="293">
        <f ca="1">IF(F52="","",(VLOOKUP($D52,master_food_list,'Master Food List'!P$91,FALSE)))</f>
        <v>10.5</v>
      </c>
      <c r="H52" s="293">
        <f ca="1">IF(G52="","",(VLOOKUP($D52,master_food_list,'Master Food List'!Q$91,FALSE)))</f>
        <v>25.5</v>
      </c>
      <c r="I52" s="293">
        <f ca="1">IF(H52="","",(VLOOKUP($D52,master_food_list,'Master Food List'!R$91,FALSE)))</f>
        <v>150</v>
      </c>
      <c r="J52" s="293">
        <f ca="1">IF(I52="","",(VLOOKUP($D52,master_food_list,'Master Food List'!S$91,FALSE)))</f>
        <v>0</v>
      </c>
      <c r="K52" s="293">
        <f ca="1">IF(J52="","",(VLOOKUP($D52,master_food_list,'Master Food List'!T$91,FALSE)))</f>
        <v>177.77777777777777</v>
      </c>
    </row>
    <row r="53" spans="1:11" customFormat="1" ht="17" x14ac:dyDescent="0.2">
      <c r="A53" s="286">
        <v>6</v>
      </c>
      <c r="B53" s="287" t="s">
        <v>463</v>
      </c>
      <c r="C53" s="287" t="s">
        <v>455</v>
      </c>
      <c r="D53" s="288" t="s">
        <v>313</v>
      </c>
      <c r="E53" s="293">
        <f ca="1">IF(D53="","",(VLOOKUP($D53,master_food_list,'Master Food List'!N$91,FALSE)))</f>
        <v>170</v>
      </c>
      <c r="F53" s="293">
        <f ca="1">IF(E53="","",(VLOOKUP($D53,master_food_list,'Master Food List'!O$91,FALSE)))</f>
        <v>28</v>
      </c>
      <c r="G53" s="293">
        <f ca="1">IF(F53="","",(VLOOKUP($D53,master_food_list,'Master Food List'!P$91,FALSE)))</f>
        <v>2</v>
      </c>
      <c r="H53" s="293">
        <f ca="1">IF(G53="","",(VLOOKUP($D53,master_food_list,'Master Food List'!Q$91,FALSE)))</f>
        <v>6</v>
      </c>
      <c r="I53" s="293">
        <f ca="1">IF(H53="","",(VLOOKUP($D53,master_food_list,'Master Food List'!R$91,FALSE)))</f>
        <v>135</v>
      </c>
      <c r="J53" s="293">
        <f ca="1">IF(I53="","",(VLOOKUP($D53,master_food_list,'Master Food List'!S$91,FALSE)))</f>
        <v>0</v>
      </c>
      <c r="K53" s="293">
        <f ca="1">IF(J53="","",(VLOOKUP($D53,master_food_list,'Master Food List'!T$91,FALSE)))</f>
        <v>150.44247787610621</v>
      </c>
    </row>
    <row r="54" spans="1:11" customFormat="1" ht="34" x14ac:dyDescent="0.2">
      <c r="A54" s="286">
        <v>7</v>
      </c>
      <c r="B54" s="287" t="s">
        <v>463</v>
      </c>
      <c r="C54" s="287" t="s">
        <v>462</v>
      </c>
      <c r="D54" s="288" t="s">
        <v>480</v>
      </c>
      <c r="E54" s="293">
        <f ca="1">IF(D54="","",(VLOOKUP($D54,master_food_list,'Master Food List'!N$91,FALSE)))</f>
        <v>620</v>
      </c>
      <c r="F54" s="293">
        <f ca="1">IF(E54="","",(VLOOKUP($D54,master_food_list,'Master Food List'!O$91,FALSE)))</f>
        <v>74</v>
      </c>
      <c r="G54" s="293">
        <f ca="1">IF(F54="","",(VLOOKUP($D54,master_food_list,'Master Food List'!P$91,FALSE)))</f>
        <v>16</v>
      </c>
      <c r="H54" s="293">
        <f ca="1">IF(G54="","",(VLOOKUP($D54,master_food_list,'Master Food List'!Q$91,FALSE)))</f>
        <v>31</v>
      </c>
      <c r="I54" s="293">
        <f ca="1">IF(H54="","",(VLOOKUP($D54,master_food_list,'Master Food List'!R$91,FALSE)))</f>
        <v>280</v>
      </c>
      <c r="J54" s="293">
        <f ca="1">IF(I54="","",(VLOOKUP($D54,master_food_list,'Master Food List'!S$91,FALSE)))</f>
        <v>0</v>
      </c>
      <c r="K54" s="293">
        <f ca="1">IF(J54="","",(VLOOKUP($D54,master_food_list,'Master Food List'!T$91,FALSE)))</f>
        <v>130.52631578947367</v>
      </c>
    </row>
    <row r="55" spans="1:11" customFormat="1" ht="34" x14ac:dyDescent="0.2">
      <c r="A55" s="286">
        <v>7</v>
      </c>
      <c r="B55" s="287" t="s">
        <v>463</v>
      </c>
      <c r="C55" s="287" t="s">
        <v>461</v>
      </c>
      <c r="D55" s="288" t="s">
        <v>427</v>
      </c>
      <c r="E55" s="293">
        <f ca="1">IF(D55="","",(VLOOKUP($D55,master_food_list,'Master Food List'!N$91,FALSE)))</f>
        <v>300</v>
      </c>
      <c r="F55" s="293">
        <f ca="1">IF(E55="","",(VLOOKUP($D55,master_food_list,'Master Food List'!O$91,FALSE)))</f>
        <v>24</v>
      </c>
      <c r="G55" s="293">
        <f ca="1">IF(F55="","",(VLOOKUP($D55,master_food_list,'Master Food List'!P$91,FALSE)))</f>
        <v>8</v>
      </c>
      <c r="H55" s="293">
        <f ca="1">IF(G55="","",(VLOOKUP($D55,master_food_list,'Master Food List'!Q$91,FALSE)))</f>
        <v>20</v>
      </c>
      <c r="I55" s="293">
        <f ca="1">IF(H55="","",(VLOOKUP($D55,master_food_list,'Master Food List'!R$91,FALSE)))</f>
        <v>120</v>
      </c>
      <c r="J55" s="293">
        <f ca="1">IF(I55="","",(VLOOKUP($D55,master_food_list,'Master Food List'!S$91,FALSE)))</f>
        <v>0</v>
      </c>
      <c r="K55" s="293">
        <f ca="1">IF(J55="","",(VLOOKUP($D55,master_food_list,'Master Food List'!T$91,FALSE)))</f>
        <v>150</v>
      </c>
    </row>
    <row r="56" spans="1:11" customFormat="1" ht="17" x14ac:dyDescent="0.2">
      <c r="A56" s="286">
        <v>7</v>
      </c>
      <c r="B56" s="287" t="s">
        <v>463</v>
      </c>
      <c r="C56" s="287" t="s">
        <v>460</v>
      </c>
      <c r="D56" s="288"/>
      <c r="E56" s="293" t="str">
        <f>IF(D56="","",(VLOOKUP($D56,master_food_list,'Master Food List'!N$91,FALSE)))</f>
        <v/>
      </c>
      <c r="F56" s="293" t="str">
        <f>IF(E56="","",(VLOOKUP($D56,master_food_list,'Master Food List'!O$91,FALSE)))</f>
        <v/>
      </c>
      <c r="G56" s="293" t="str">
        <f>IF(F56="","",(VLOOKUP($D56,master_food_list,'Master Food List'!P$91,FALSE)))</f>
        <v/>
      </c>
      <c r="H56" s="293" t="str">
        <f>IF(G56="","",(VLOOKUP($D56,master_food_list,'Master Food List'!Q$91,FALSE)))</f>
        <v/>
      </c>
      <c r="I56" s="293" t="str">
        <f>IF(H56="","",(VLOOKUP($D56,master_food_list,'Master Food List'!R$91,FALSE)))</f>
        <v/>
      </c>
      <c r="J56" s="293" t="str">
        <f>IF(I56="","",(VLOOKUP($D56,master_food_list,'Master Food List'!S$91,FALSE)))</f>
        <v/>
      </c>
      <c r="K56" s="293" t="str">
        <f>IF(J56="","",(VLOOKUP($D56,master_food_list,'Master Food List'!T$91,FALSE)))</f>
        <v/>
      </c>
    </row>
    <row r="57" spans="1:11" customFormat="1" ht="51" x14ac:dyDescent="0.2">
      <c r="A57" s="286">
        <v>7</v>
      </c>
      <c r="B57" s="287" t="s">
        <v>463</v>
      </c>
      <c r="C57" s="287" t="s">
        <v>459</v>
      </c>
      <c r="D57" s="288" t="s">
        <v>433</v>
      </c>
      <c r="E57" s="293">
        <f ca="1">IF(D57="","",(VLOOKUP($D57,master_food_list,'Master Food List'!N$91,FALSE)))</f>
        <v>280</v>
      </c>
      <c r="F57" s="293">
        <f ca="1">IF(E57="","",(VLOOKUP($D57,master_food_list,'Master Food List'!O$91,FALSE)))</f>
        <v>34</v>
      </c>
      <c r="G57" s="293">
        <f ca="1">IF(F57="","",(VLOOKUP($D57,master_food_list,'Master Food List'!P$91,FALSE)))</f>
        <v>2</v>
      </c>
      <c r="H57" s="293">
        <f ca="1">IF(G57="","",(VLOOKUP($D57,master_food_list,'Master Food List'!Q$91,FALSE)))</f>
        <v>17</v>
      </c>
      <c r="I57" s="293">
        <f ca="1">IF(H57="","",(VLOOKUP($D57,master_food_list,'Master Food List'!R$91,FALSE)))</f>
        <v>0</v>
      </c>
      <c r="J57" s="293">
        <f ca="1">IF(I57="","",(VLOOKUP($D57,master_food_list,'Master Food List'!S$91,FALSE)))</f>
        <v>0</v>
      </c>
      <c r="K57" s="293">
        <f ca="1">IF(J57="","",(VLOOKUP($D57,master_food_list,'Master Food List'!T$91,FALSE)))</f>
        <v>140</v>
      </c>
    </row>
    <row r="58" spans="1:11" customFormat="1" ht="34" x14ac:dyDescent="0.2">
      <c r="A58" s="286">
        <v>7</v>
      </c>
      <c r="B58" s="287" t="s">
        <v>463</v>
      </c>
      <c r="C58" s="287" t="s">
        <v>458</v>
      </c>
      <c r="D58" s="288" t="s">
        <v>409</v>
      </c>
      <c r="E58" s="293">
        <f ca="1">IF(D58="","",(VLOOKUP($D58,master_food_list,'Master Food List'!N$91,FALSE)))</f>
        <v>480</v>
      </c>
      <c r="F58" s="293">
        <f ca="1">IF(E58="","",(VLOOKUP($D58,master_food_list,'Master Food List'!O$91,FALSE)))</f>
        <v>84</v>
      </c>
      <c r="G58" s="293">
        <f ca="1">IF(F58="","",(VLOOKUP($D58,master_food_list,'Master Food List'!P$91,FALSE)))</f>
        <v>30</v>
      </c>
      <c r="H58" s="293">
        <f ca="1">IF(G58="","",(VLOOKUP($D58,master_food_list,'Master Food List'!Q$91,FALSE)))</f>
        <v>3</v>
      </c>
      <c r="I58" s="293">
        <f ca="1">IF(H58="","",(VLOOKUP($D58,master_food_list,'Master Food List'!R$91,FALSE)))</f>
        <v>1530</v>
      </c>
      <c r="J58" s="293">
        <f ca="1">IF(I58="","",(VLOOKUP($D58,master_food_list,'Master Food List'!S$91,FALSE)))</f>
        <v>0</v>
      </c>
      <c r="K58" s="293">
        <f ca="1">IF(J58="","",(VLOOKUP($D58,master_food_list,'Master Food List'!T$91,FALSE)))</f>
        <v>101.93905817174515</v>
      </c>
    </row>
    <row r="59" spans="1:11" customFormat="1" ht="17" x14ac:dyDescent="0.2">
      <c r="A59" s="286">
        <v>7</v>
      </c>
      <c r="B59" s="287" t="s">
        <v>463</v>
      </c>
      <c r="C59" s="287" t="s">
        <v>457</v>
      </c>
      <c r="D59" s="288" t="s">
        <v>479</v>
      </c>
      <c r="E59" s="293">
        <f ca="1">IF(D59="","",(VLOOKUP($D59,master_food_list,'Master Food List'!N$91,FALSE)))</f>
        <v>300</v>
      </c>
      <c r="F59" s="293">
        <f ca="1">IF(E59="","",(VLOOKUP($D59,master_food_list,'Master Food List'!O$91,FALSE)))</f>
        <v>10.5</v>
      </c>
      <c r="G59" s="293">
        <f ca="1">IF(F59="","",(VLOOKUP($D59,master_food_list,'Master Food List'!P$91,FALSE)))</f>
        <v>10.5</v>
      </c>
      <c r="H59" s="293">
        <f ca="1">IF(G59="","",(VLOOKUP($D59,master_food_list,'Master Food List'!Q$91,FALSE)))</f>
        <v>25.5</v>
      </c>
      <c r="I59" s="293">
        <f ca="1">IF(H59="","",(VLOOKUP($D59,master_food_list,'Master Food List'!R$91,FALSE)))</f>
        <v>150</v>
      </c>
      <c r="J59" s="293">
        <f ca="1">IF(I59="","",(VLOOKUP($D59,master_food_list,'Master Food List'!S$91,FALSE)))</f>
        <v>0</v>
      </c>
      <c r="K59" s="293">
        <f ca="1">IF(J59="","",(VLOOKUP($D59,master_food_list,'Master Food List'!T$91,FALSE)))</f>
        <v>177.77777777777777</v>
      </c>
    </row>
    <row r="60" spans="1:11" customFormat="1" ht="17" x14ac:dyDescent="0.2">
      <c r="A60" s="286">
        <v>7</v>
      </c>
      <c r="B60" s="287" t="s">
        <v>463</v>
      </c>
      <c r="C60" s="287" t="s">
        <v>455</v>
      </c>
      <c r="D60" s="288" t="s">
        <v>484</v>
      </c>
      <c r="E60" s="293">
        <f ca="1">IF(D60="","",(VLOOKUP($D60,master_food_list,'Master Food List'!N$91,FALSE)))</f>
        <v>540</v>
      </c>
      <c r="F60" s="293">
        <f ca="1">IF(E60="","",(VLOOKUP($D60,master_food_list,'Master Food List'!O$91,FALSE)))</f>
        <v>72</v>
      </c>
      <c r="G60" s="293">
        <f ca="1">IF(F60="","",(VLOOKUP($D60,master_food_list,'Master Food List'!P$91,FALSE)))</f>
        <v>14</v>
      </c>
      <c r="H60" s="293">
        <f ca="1">IF(G60="","",(VLOOKUP($D60,master_food_list,'Master Food List'!Q$91,FALSE)))</f>
        <v>22</v>
      </c>
      <c r="I60" s="293">
        <f ca="1">IF(H60="","",(VLOOKUP($D60,master_food_list,'Master Food List'!R$91,FALSE)))</f>
        <v>780</v>
      </c>
      <c r="J60" s="293">
        <f ca="1">IF(I60="","",(VLOOKUP($D60,master_food_list,'Master Food List'!S$91,FALSE)))</f>
        <v>0</v>
      </c>
      <c r="K60" s="293">
        <f ca="1">IF(J60="","",(VLOOKUP($D60,master_food_list,'Master Food List'!T$91,FALSE)))</f>
        <v>117.39130434782609</v>
      </c>
    </row>
    <row r="61" spans="1:11" s="189" customFormat="1" ht="34" x14ac:dyDescent="0.2">
      <c r="A61" s="282">
        <v>8</v>
      </c>
      <c r="B61" s="283" t="s">
        <v>463</v>
      </c>
      <c r="C61" s="283" t="s">
        <v>462</v>
      </c>
      <c r="D61" s="284" t="s">
        <v>480</v>
      </c>
      <c r="E61" s="292">
        <f ca="1">IF(D61="","",(VLOOKUP($D61,master_food_list,'Master Food List'!N$91,FALSE)))</f>
        <v>620</v>
      </c>
      <c r="F61" s="292">
        <f ca="1">IF(E61="","",(VLOOKUP($D61,master_food_list,'Master Food List'!O$91,FALSE)))</f>
        <v>74</v>
      </c>
      <c r="G61" s="292">
        <f ca="1">IF(F61="","",(VLOOKUP($D61,master_food_list,'Master Food List'!P$91,FALSE)))</f>
        <v>16</v>
      </c>
      <c r="H61" s="292">
        <f ca="1">IF(G61="","",(VLOOKUP($D61,master_food_list,'Master Food List'!Q$91,FALSE)))</f>
        <v>31</v>
      </c>
      <c r="I61" s="292">
        <f ca="1">IF(H61="","",(VLOOKUP($D61,master_food_list,'Master Food List'!R$91,FALSE)))</f>
        <v>280</v>
      </c>
      <c r="J61" s="292">
        <f ca="1">IF(I61="","",(VLOOKUP($D61,master_food_list,'Master Food List'!S$91,FALSE)))</f>
        <v>0</v>
      </c>
      <c r="K61" s="292">
        <f ca="1">IF(J61="","",(VLOOKUP($D61,master_food_list,'Master Food List'!T$91,FALSE)))</f>
        <v>130.52631578947367</v>
      </c>
    </row>
    <row r="62" spans="1:11" s="189" customFormat="1" ht="34" x14ac:dyDescent="0.2">
      <c r="A62" s="282">
        <v>8</v>
      </c>
      <c r="B62" s="283" t="s">
        <v>463</v>
      </c>
      <c r="C62" s="283" t="s">
        <v>461</v>
      </c>
      <c r="D62" s="284" t="s">
        <v>397</v>
      </c>
      <c r="E62" s="292">
        <f ca="1">IF(D62="","",(VLOOKUP($D62,master_food_list,'Master Food List'!N$91,FALSE)))</f>
        <v>280</v>
      </c>
      <c r="F62" s="292">
        <f ca="1">IF(E62="","",(VLOOKUP($D62,master_food_list,'Master Food List'!O$91,FALSE)))</f>
        <v>29</v>
      </c>
      <c r="G62" s="292">
        <f ca="1">IF(F62="","",(VLOOKUP($D62,master_food_list,'Master Food List'!P$91,FALSE)))</f>
        <v>20</v>
      </c>
      <c r="H62" s="292">
        <f ca="1">IF(G62="","",(VLOOKUP($D62,master_food_list,'Master Food List'!Q$91,FALSE)))</f>
        <v>10</v>
      </c>
      <c r="I62" s="292">
        <f ca="1">IF(H62="","",(VLOOKUP($D62,master_food_list,'Master Food List'!R$91,FALSE)))</f>
        <v>360</v>
      </c>
      <c r="J62" s="292">
        <f ca="1">IF(I62="","",(VLOOKUP($D62,master_food_list,'Master Food List'!S$91,FALSE)))</f>
        <v>0</v>
      </c>
      <c r="K62" s="292">
        <f ca="1">IF(J62="","",(VLOOKUP($D62,master_food_list,'Master Food List'!T$91,FALSE)))</f>
        <v>116.66666666666667</v>
      </c>
    </row>
    <row r="63" spans="1:11" s="189" customFormat="1" ht="17" x14ac:dyDescent="0.2">
      <c r="A63" s="282">
        <v>8</v>
      </c>
      <c r="B63" s="283" t="s">
        <v>463</v>
      </c>
      <c r="C63" s="283" t="s">
        <v>460</v>
      </c>
      <c r="D63" s="284"/>
      <c r="E63" s="292" t="str">
        <f>IF(D63="","",(VLOOKUP($D63,master_food_list,'Master Food List'!N$91,FALSE)))</f>
        <v/>
      </c>
      <c r="F63" s="292" t="str">
        <f>IF(E63="","",(VLOOKUP($D63,master_food_list,'Master Food List'!O$91,FALSE)))</f>
        <v/>
      </c>
      <c r="G63" s="292" t="str">
        <f>IF(F63="","",(VLOOKUP($D63,master_food_list,'Master Food List'!P$91,FALSE)))</f>
        <v/>
      </c>
      <c r="H63" s="292" t="str">
        <f>IF(G63="","",(VLOOKUP($D63,master_food_list,'Master Food List'!Q$91,FALSE)))</f>
        <v/>
      </c>
      <c r="I63" s="292" t="str">
        <f>IF(H63="","",(VLOOKUP($D63,master_food_list,'Master Food List'!R$91,FALSE)))</f>
        <v/>
      </c>
      <c r="J63" s="292" t="str">
        <f>IF(I63="","",(VLOOKUP($D63,master_food_list,'Master Food List'!S$91,FALSE)))</f>
        <v/>
      </c>
      <c r="K63" s="292" t="str">
        <f>IF(J63="","",(VLOOKUP($D63,master_food_list,'Master Food List'!T$91,FALSE)))</f>
        <v/>
      </c>
    </row>
    <row r="64" spans="1:11" s="189" customFormat="1" ht="51" x14ac:dyDescent="0.2">
      <c r="A64" s="282">
        <v>8</v>
      </c>
      <c r="B64" s="283" t="s">
        <v>463</v>
      </c>
      <c r="C64" s="283" t="s">
        <v>459</v>
      </c>
      <c r="D64" s="284" t="s">
        <v>430</v>
      </c>
      <c r="E64" s="292">
        <f ca="1">IF(D64="","",(VLOOKUP($D64,master_food_list,'Master Food List'!N$91,FALSE)))</f>
        <v>510</v>
      </c>
      <c r="F64" s="292">
        <f ca="1">IF(E64="","",(VLOOKUP($D64,master_food_list,'Master Food List'!O$91,FALSE)))</f>
        <v>42</v>
      </c>
      <c r="G64" s="292">
        <f ca="1">IF(F64="","",(VLOOKUP($D64,master_food_list,'Master Food List'!P$91,FALSE)))</f>
        <v>10.5</v>
      </c>
      <c r="H64" s="292">
        <f ca="1">IF(G64="","",(VLOOKUP($D64,master_food_list,'Master Food List'!Q$91,FALSE)))</f>
        <v>33</v>
      </c>
      <c r="I64" s="292">
        <f ca="1">IF(H64="","",(VLOOKUP($D64,master_food_list,'Master Food List'!R$91,FALSE)))</f>
        <v>75</v>
      </c>
      <c r="J64" s="292">
        <f ca="1">IF(I64="","",(VLOOKUP($D64,master_food_list,'Master Food List'!S$91,FALSE)))</f>
        <v>0</v>
      </c>
      <c r="K64" s="292">
        <f ca="1">IF(J64="","",(VLOOKUP($D64,master_food_list,'Master Food List'!T$91,FALSE)))</f>
        <v>170</v>
      </c>
    </row>
    <row r="65" spans="1:11" s="189" customFormat="1" ht="34" x14ac:dyDescent="0.2">
      <c r="A65" s="282">
        <v>8</v>
      </c>
      <c r="B65" s="283" t="s">
        <v>463</v>
      </c>
      <c r="C65" s="283" t="s">
        <v>458</v>
      </c>
      <c r="D65" s="284" t="s">
        <v>486</v>
      </c>
      <c r="E65" s="292">
        <f ca="1">IF(D65="","",(VLOOKUP($D65,master_food_list,'Master Food List'!N$91,FALSE)))</f>
        <v>960</v>
      </c>
      <c r="F65" s="292">
        <f ca="1">IF(E65="","",(VLOOKUP($D65,master_food_list,'Master Food List'!O$91,FALSE)))</f>
        <v>178</v>
      </c>
      <c r="G65" s="292">
        <f ca="1">IF(F65="","",(VLOOKUP($D65,master_food_list,'Master Food List'!P$91,FALSE)))</f>
        <v>34</v>
      </c>
      <c r="H65" s="292">
        <f ca="1">IF(G65="","",(VLOOKUP($D65,master_food_list,'Master Food List'!Q$91,FALSE)))</f>
        <v>12</v>
      </c>
      <c r="I65" s="292">
        <f ca="1">IF(H65="","",(VLOOKUP($D65,master_food_list,'Master Food List'!R$91,FALSE)))</f>
        <v>1620</v>
      </c>
      <c r="J65" s="292">
        <f ca="1">IF(I65="","",(VLOOKUP($D65,master_food_list,'Master Food List'!S$91,FALSE)))</f>
        <v>0</v>
      </c>
      <c r="K65" s="292">
        <f ca="1">IF(J65="","",(VLOOKUP($D65,master_food_list,'Master Food List'!T$91,FALSE)))</f>
        <v>109.09090909090908</v>
      </c>
    </row>
    <row r="66" spans="1:11" s="189" customFormat="1" ht="17" x14ac:dyDescent="0.2">
      <c r="A66" s="282">
        <v>8</v>
      </c>
      <c r="B66" s="283" t="s">
        <v>463</v>
      </c>
      <c r="C66" s="283" t="s">
        <v>457</v>
      </c>
      <c r="D66" s="284" t="s">
        <v>479</v>
      </c>
      <c r="E66" s="292">
        <f ca="1">IF(D66="","",(VLOOKUP($D66,master_food_list,'Master Food List'!N$91,FALSE)))</f>
        <v>300</v>
      </c>
      <c r="F66" s="292">
        <f ca="1">IF(E66="","",(VLOOKUP($D66,master_food_list,'Master Food List'!O$91,FALSE)))</f>
        <v>10.5</v>
      </c>
      <c r="G66" s="292">
        <f ca="1">IF(F66="","",(VLOOKUP($D66,master_food_list,'Master Food List'!P$91,FALSE)))</f>
        <v>10.5</v>
      </c>
      <c r="H66" s="292">
        <f ca="1">IF(G66="","",(VLOOKUP($D66,master_food_list,'Master Food List'!Q$91,FALSE)))</f>
        <v>25.5</v>
      </c>
      <c r="I66" s="292">
        <f ca="1">IF(H66="","",(VLOOKUP($D66,master_food_list,'Master Food List'!R$91,FALSE)))</f>
        <v>150</v>
      </c>
      <c r="J66" s="292">
        <f ca="1">IF(I66="","",(VLOOKUP($D66,master_food_list,'Master Food List'!S$91,FALSE)))</f>
        <v>0</v>
      </c>
      <c r="K66" s="292">
        <f ca="1">IF(J66="","",(VLOOKUP($D66,master_food_list,'Master Food List'!T$91,FALSE)))</f>
        <v>177.77777777777777</v>
      </c>
    </row>
    <row r="67" spans="1:11" s="189" customFormat="1" ht="17" x14ac:dyDescent="0.2">
      <c r="A67" s="282">
        <v>8</v>
      </c>
      <c r="B67" s="283" t="s">
        <v>463</v>
      </c>
      <c r="C67" s="283" t="s">
        <v>455</v>
      </c>
      <c r="D67" s="284" t="s">
        <v>482</v>
      </c>
      <c r="E67" s="292">
        <f ca="1">IF(D67="","",(VLOOKUP($D67,master_food_list,'Master Food List'!N$91,FALSE)))</f>
        <v>110</v>
      </c>
      <c r="F67" s="292">
        <f ca="1">IF(E67="","",(VLOOKUP($D67,master_food_list,'Master Food List'!O$91,FALSE)))</f>
        <v>21</v>
      </c>
      <c r="G67" s="292">
        <f ca="1">IF(F67="","",(VLOOKUP($D67,master_food_list,'Master Food List'!P$91,FALSE)))</f>
        <v>1</v>
      </c>
      <c r="H67" s="292">
        <f ca="1">IF(G67="","",(VLOOKUP($D67,master_food_list,'Master Food List'!Q$91,FALSE)))</f>
        <v>2</v>
      </c>
      <c r="I67" s="292">
        <f ca="1">IF(H67="","",(VLOOKUP($D67,master_food_list,'Master Food List'!R$91,FALSE)))</f>
        <v>150</v>
      </c>
      <c r="J67" s="292">
        <f ca="1">IF(I67="","",(VLOOKUP($D67,master_food_list,'Master Food List'!S$91,FALSE)))</f>
        <v>0</v>
      </c>
      <c r="K67" s="292">
        <f ca="1">IF(J67="","",(VLOOKUP($D67,master_food_list,'Master Food List'!T$91,FALSE)))</f>
        <v>118.27956989247312</v>
      </c>
    </row>
    <row r="68" spans="1:11" customFormat="1" ht="34" x14ac:dyDescent="0.2">
      <c r="A68" s="286">
        <v>9</v>
      </c>
      <c r="B68" s="287" t="s">
        <v>463</v>
      </c>
      <c r="C68" s="287" t="s">
        <v>462</v>
      </c>
      <c r="D68" s="288" t="s">
        <v>480</v>
      </c>
      <c r="E68" s="293">
        <f ca="1">IF(D68="","",(VLOOKUP($D68,master_food_list,'Master Food List'!N$91,FALSE)))</f>
        <v>620</v>
      </c>
      <c r="F68" s="293">
        <f ca="1">IF(E68="","",(VLOOKUP($D68,master_food_list,'Master Food List'!O$91,FALSE)))</f>
        <v>74</v>
      </c>
      <c r="G68" s="293">
        <f ca="1">IF(F68="","",(VLOOKUP($D68,master_food_list,'Master Food List'!P$91,FALSE)))</f>
        <v>16</v>
      </c>
      <c r="H68" s="293">
        <f ca="1">IF(G68="","",(VLOOKUP($D68,master_food_list,'Master Food List'!Q$91,FALSE)))</f>
        <v>31</v>
      </c>
      <c r="I68" s="293">
        <f ca="1">IF(H68="","",(VLOOKUP($D68,master_food_list,'Master Food List'!R$91,FALSE)))</f>
        <v>280</v>
      </c>
      <c r="J68" s="293">
        <f ca="1">IF(I68="","",(VLOOKUP($D68,master_food_list,'Master Food List'!S$91,FALSE)))</f>
        <v>0</v>
      </c>
      <c r="K68" s="293">
        <f ca="1">IF(J68="","",(VLOOKUP($D68,master_food_list,'Master Food List'!T$91,FALSE)))</f>
        <v>130.52631578947367</v>
      </c>
    </row>
    <row r="69" spans="1:11" customFormat="1" ht="34" x14ac:dyDescent="0.2">
      <c r="A69" s="286">
        <v>9</v>
      </c>
      <c r="B69" s="287" t="s">
        <v>463</v>
      </c>
      <c r="C69" s="287" t="s">
        <v>461</v>
      </c>
      <c r="D69" s="288" t="s">
        <v>489</v>
      </c>
      <c r="E69" s="293">
        <f ca="1">IF(D69="","",(VLOOKUP($D69,master_food_list,'Master Food List'!N$91,FALSE)))</f>
        <v>200</v>
      </c>
      <c r="F69" s="293">
        <f ca="1">IF(E69="","",(VLOOKUP($D69,master_food_list,'Master Food List'!O$91,FALSE)))</f>
        <v>25</v>
      </c>
      <c r="G69" s="293">
        <f ca="1">IF(F69="","",(VLOOKUP($D69,master_food_list,'Master Food List'!P$91,FALSE)))</f>
        <v>22.5</v>
      </c>
      <c r="H69" s="293">
        <f ca="1">IF(G69="","",(VLOOKUP($D69,master_food_list,'Master Food List'!Q$91,FALSE)))</f>
        <v>1.25</v>
      </c>
      <c r="I69" s="293">
        <f ca="1">IF(H69="","",(VLOOKUP($D69,master_food_list,'Master Food List'!R$91,FALSE)))</f>
        <v>800</v>
      </c>
      <c r="J69" s="293">
        <f ca="1">IF(I69="","",(VLOOKUP($D69,master_food_list,'Master Food List'!S$91,FALSE)))</f>
        <v>0</v>
      </c>
      <c r="K69" s="293">
        <f ca="1">IF(J69="","",(VLOOKUP($D69,master_food_list,'Master Food List'!T$91,FALSE)))</f>
        <v>74.074074074074076</v>
      </c>
    </row>
    <row r="70" spans="1:11" customFormat="1" ht="17" x14ac:dyDescent="0.2">
      <c r="A70" s="286">
        <v>9</v>
      </c>
      <c r="B70" s="287" t="s">
        <v>463</v>
      </c>
      <c r="C70" s="287" t="s">
        <v>460</v>
      </c>
      <c r="D70" s="288"/>
      <c r="E70" s="293" t="str">
        <f>IF(D70="","",(VLOOKUP($D70,master_food_list,'Master Food List'!N$91,FALSE)))</f>
        <v/>
      </c>
      <c r="F70" s="293" t="str">
        <f>IF(E70="","",(VLOOKUP($D70,master_food_list,'Master Food List'!O$91,FALSE)))</f>
        <v/>
      </c>
      <c r="G70" s="293" t="str">
        <f>IF(F70="","",(VLOOKUP($D70,master_food_list,'Master Food List'!P$91,FALSE)))</f>
        <v/>
      </c>
      <c r="H70" s="293" t="str">
        <f>IF(G70="","",(VLOOKUP($D70,master_food_list,'Master Food List'!Q$91,FALSE)))</f>
        <v/>
      </c>
      <c r="I70" s="293" t="str">
        <f>IF(H70="","",(VLOOKUP($D70,master_food_list,'Master Food List'!R$91,FALSE)))</f>
        <v/>
      </c>
      <c r="J70" s="293" t="str">
        <f>IF(I70="","",(VLOOKUP($D70,master_food_list,'Master Food List'!S$91,FALSE)))</f>
        <v/>
      </c>
      <c r="K70" s="293" t="str">
        <f>IF(J70="","",(VLOOKUP($D70,master_food_list,'Master Food List'!T$91,FALSE)))</f>
        <v/>
      </c>
    </row>
    <row r="71" spans="1:11" customFormat="1" ht="34" x14ac:dyDescent="0.2">
      <c r="A71" s="286">
        <v>9</v>
      </c>
      <c r="B71" s="287" t="s">
        <v>463</v>
      </c>
      <c r="C71" s="287" t="s">
        <v>459</v>
      </c>
      <c r="D71" s="288" t="s">
        <v>427</v>
      </c>
      <c r="E71" s="293">
        <f ca="1">IF(D71="","",(VLOOKUP($D71,master_food_list,'Master Food List'!N$91,FALSE)))</f>
        <v>300</v>
      </c>
      <c r="F71" s="293">
        <f ca="1">IF(E71="","",(VLOOKUP($D71,master_food_list,'Master Food List'!O$91,FALSE)))</f>
        <v>24</v>
      </c>
      <c r="G71" s="293">
        <f ca="1">IF(F71="","",(VLOOKUP($D71,master_food_list,'Master Food List'!P$91,FALSE)))</f>
        <v>8</v>
      </c>
      <c r="H71" s="293">
        <f ca="1">IF(G71="","",(VLOOKUP($D71,master_food_list,'Master Food List'!Q$91,FALSE)))</f>
        <v>20</v>
      </c>
      <c r="I71" s="293">
        <f ca="1">IF(H71="","",(VLOOKUP($D71,master_food_list,'Master Food List'!R$91,FALSE)))</f>
        <v>120</v>
      </c>
      <c r="J71" s="293">
        <f ca="1">IF(I71="","",(VLOOKUP($D71,master_food_list,'Master Food List'!S$91,FALSE)))</f>
        <v>0</v>
      </c>
      <c r="K71" s="293">
        <f ca="1">IF(J71="","",(VLOOKUP($D71,master_food_list,'Master Food List'!T$91,FALSE)))</f>
        <v>150</v>
      </c>
    </row>
    <row r="72" spans="1:11" customFormat="1" ht="34" x14ac:dyDescent="0.2">
      <c r="A72" s="286">
        <v>9</v>
      </c>
      <c r="B72" s="287" t="s">
        <v>463</v>
      </c>
      <c r="C72" s="287" t="s">
        <v>458</v>
      </c>
      <c r="D72" s="288" t="s">
        <v>491</v>
      </c>
      <c r="E72" s="293">
        <f ca="1">IF(D72="","",(VLOOKUP($D72,master_food_list,'Master Food List'!N$91,FALSE)))</f>
        <v>420</v>
      </c>
      <c r="F72" s="293">
        <f ca="1">IF(E72="","",(VLOOKUP($D72,master_food_list,'Master Food List'!O$91,FALSE)))</f>
        <v>44</v>
      </c>
      <c r="G72" s="293">
        <f ca="1">IF(F72="","",(VLOOKUP($D72,master_food_list,'Master Food List'!P$91,FALSE)))</f>
        <v>44</v>
      </c>
      <c r="H72" s="293">
        <f ca="1">IF(G72="","",(VLOOKUP($D72,master_food_list,'Master Food List'!Q$91,FALSE)))</f>
        <v>7</v>
      </c>
      <c r="I72" s="293">
        <f ca="1">IF(H72="","",(VLOOKUP($D72,master_food_list,'Master Food List'!R$91,FALSE)))</f>
        <v>1620</v>
      </c>
      <c r="J72" s="293">
        <f ca="1">IF(I72="","",(VLOOKUP($D72,master_food_list,'Master Food List'!S$91,FALSE)))</f>
        <v>0</v>
      </c>
      <c r="K72" s="293">
        <f ca="1">IF(J72="","",(VLOOKUP($D72,master_food_list,'Master Food List'!T$91,FALSE)))</f>
        <v>113.5135135135135</v>
      </c>
    </row>
    <row r="73" spans="1:11" customFormat="1" ht="17" x14ac:dyDescent="0.2">
      <c r="A73" s="286">
        <v>9</v>
      </c>
      <c r="B73" s="287" t="s">
        <v>463</v>
      </c>
      <c r="C73" s="287" t="s">
        <v>457</v>
      </c>
      <c r="D73" s="288" t="s">
        <v>479</v>
      </c>
      <c r="E73" s="293">
        <f ca="1">IF(D73="","",(VLOOKUP($D73,master_food_list,'Master Food List'!N$91,FALSE)))</f>
        <v>300</v>
      </c>
      <c r="F73" s="293">
        <f ca="1">IF(E73="","",(VLOOKUP($D73,master_food_list,'Master Food List'!O$91,FALSE)))</f>
        <v>10.5</v>
      </c>
      <c r="G73" s="293">
        <f ca="1">IF(F73="","",(VLOOKUP($D73,master_food_list,'Master Food List'!P$91,FALSE)))</f>
        <v>10.5</v>
      </c>
      <c r="H73" s="293">
        <f ca="1">IF(G73="","",(VLOOKUP($D73,master_food_list,'Master Food List'!Q$91,FALSE)))</f>
        <v>25.5</v>
      </c>
      <c r="I73" s="293">
        <f ca="1">IF(H73="","",(VLOOKUP($D73,master_food_list,'Master Food List'!R$91,FALSE)))</f>
        <v>150</v>
      </c>
      <c r="J73" s="293">
        <f ca="1">IF(I73="","",(VLOOKUP($D73,master_food_list,'Master Food List'!S$91,FALSE)))</f>
        <v>0</v>
      </c>
      <c r="K73" s="293">
        <f ca="1">IF(J73="","",(VLOOKUP($D73,master_food_list,'Master Food List'!T$91,FALSE)))</f>
        <v>177.77777777777777</v>
      </c>
    </row>
    <row r="74" spans="1:11" customFormat="1" ht="17" x14ac:dyDescent="0.2">
      <c r="A74" s="286">
        <v>9</v>
      </c>
      <c r="B74" s="287" t="s">
        <v>463</v>
      </c>
      <c r="C74" s="287" t="s">
        <v>455</v>
      </c>
      <c r="D74" s="288" t="s">
        <v>482</v>
      </c>
      <c r="E74" s="293">
        <f ca="1">IF(D74="","",(VLOOKUP($D74,master_food_list,'Master Food List'!N$91,FALSE)))</f>
        <v>110</v>
      </c>
      <c r="F74" s="293">
        <f ca="1">IF(E74="","",(VLOOKUP($D74,master_food_list,'Master Food List'!O$91,FALSE)))</f>
        <v>21</v>
      </c>
      <c r="G74" s="293">
        <f ca="1">IF(F74="","",(VLOOKUP($D74,master_food_list,'Master Food List'!P$91,FALSE)))</f>
        <v>1</v>
      </c>
      <c r="H74" s="293">
        <f ca="1">IF(G74="","",(VLOOKUP($D74,master_food_list,'Master Food List'!Q$91,FALSE)))</f>
        <v>2</v>
      </c>
      <c r="I74" s="293">
        <f ca="1">IF(H74="","",(VLOOKUP($D74,master_food_list,'Master Food List'!R$91,FALSE)))</f>
        <v>150</v>
      </c>
      <c r="J74" s="293">
        <f ca="1">IF(I74="","",(VLOOKUP($D74,master_food_list,'Master Food List'!S$91,FALSE)))</f>
        <v>0</v>
      </c>
      <c r="K74" s="293">
        <f ca="1">IF(J74="","",(VLOOKUP($D74,master_food_list,'Master Food List'!T$91,FALSE)))</f>
        <v>118.27956989247312</v>
      </c>
    </row>
    <row r="75" spans="1:11" customFormat="1" ht="34" x14ac:dyDescent="0.2">
      <c r="A75" s="286">
        <v>10</v>
      </c>
      <c r="B75" s="287" t="s">
        <v>463</v>
      </c>
      <c r="C75" s="287" t="s">
        <v>462</v>
      </c>
      <c r="D75" s="288" t="s">
        <v>485</v>
      </c>
      <c r="E75" s="293">
        <f ca="1">IF(D75="","",(VLOOKUP($D75,master_food_list,'Master Food List'!N$91,FALSE)))</f>
        <v>500</v>
      </c>
      <c r="F75" s="293">
        <f ca="1">IF(E75="","",(VLOOKUP($D75,master_food_list,'Master Food List'!O$91,FALSE)))</f>
        <v>74</v>
      </c>
      <c r="G75" s="293">
        <f ca="1">IF(F75="","",(VLOOKUP($D75,master_food_list,'Master Food List'!P$91,FALSE)))</f>
        <v>16</v>
      </c>
      <c r="H75" s="293">
        <f ca="1">IF(G75="","",(VLOOKUP($D75,master_food_list,'Master Food List'!Q$91,FALSE)))</f>
        <v>18</v>
      </c>
      <c r="I75" s="293">
        <f ca="1">IF(H75="","",(VLOOKUP($D75,master_food_list,'Master Food List'!R$91,FALSE)))</f>
        <v>130</v>
      </c>
      <c r="J75" s="293">
        <f ca="1">IF(I75="","",(VLOOKUP($D75,master_food_list,'Master Food List'!S$91,FALSE)))</f>
        <v>0</v>
      </c>
      <c r="K75" s="293">
        <f ca="1">IF(J75="","",(VLOOKUP($D75,master_food_list,'Master Food List'!T$91,FALSE)))</f>
        <v>126.55024044545685</v>
      </c>
    </row>
    <row r="76" spans="1:11" customFormat="1" ht="34" x14ac:dyDescent="0.2">
      <c r="A76" s="286">
        <v>10</v>
      </c>
      <c r="B76" s="287" t="s">
        <v>463</v>
      </c>
      <c r="C76" s="287" t="s">
        <v>461</v>
      </c>
      <c r="D76" s="288" t="s">
        <v>327</v>
      </c>
      <c r="E76" s="293">
        <f ca="1">IF(D76="","",(VLOOKUP($D76,master_food_list,'Master Food List'!N$91,FALSE)))</f>
        <v>130</v>
      </c>
      <c r="F76" s="293">
        <f ca="1">IF(E76="","",(VLOOKUP($D76,master_food_list,'Master Food List'!O$91,FALSE)))</f>
        <v>8</v>
      </c>
      <c r="G76" s="293">
        <f ca="1">IF(F76="","",(VLOOKUP($D76,master_food_list,'Master Food List'!P$91,FALSE)))</f>
        <v>7</v>
      </c>
      <c r="H76" s="293">
        <f ca="1">IF(G76="","",(VLOOKUP($D76,master_food_list,'Master Food List'!Q$91,FALSE)))</f>
        <v>8</v>
      </c>
      <c r="I76" s="293">
        <f ca="1">IF(H76="","",(VLOOKUP($D76,master_food_list,'Master Food List'!R$91,FALSE)))</f>
        <v>320</v>
      </c>
      <c r="J76" s="293">
        <f ca="1">IF(I76="","",(VLOOKUP($D76,master_food_list,'Master Food List'!S$91,FALSE)))</f>
        <v>0</v>
      </c>
      <c r="K76" s="293">
        <f ca="1">IF(J76="","",(VLOOKUP($D76,master_food_list,'Master Food List'!T$91,FALSE)))</f>
        <v>99.999999999999986</v>
      </c>
    </row>
    <row r="77" spans="1:11" customFormat="1" ht="17" x14ac:dyDescent="0.2">
      <c r="A77" s="286">
        <v>10</v>
      </c>
      <c r="B77" s="287" t="s">
        <v>463</v>
      </c>
      <c r="C77" s="287" t="s">
        <v>460</v>
      </c>
      <c r="D77" s="288"/>
      <c r="E77" s="293" t="str">
        <f>IF(D77="","",(VLOOKUP($D77,master_food_list,'Master Food List'!N$91,FALSE)))</f>
        <v/>
      </c>
      <c r="F77" s="293" t="str">
        <f>IF(E77="","",(VLOOKUP($D77,master_food_list,'Master Food List'!O$91,FALSE)))</f>
        <v/>
      </c>
      <c r="G77" s="293" t="str">
        <f>IF(F77="","",(VLOOKUP($D77,master_food_list,'Master Food List'!P$91,FALSE)))</f>
        <v/>
      </c>
      <c r="H77" s="293" t="str">
        <f>IF(G77="","",(VLOOKUP($D77,master_food_list,'Master Food List'!Q$91,FALSE)))</f>
        <v/>
      </c>
      <c r="I77" s="293" t="str">
        <f>IF(H77="","",(VLOOKUP($D77,master_food_list,'Master Food List'!R$91,FALSE)))</f>
        <v/>
      </c>
      <c r="J77" s="293" t="str">
        <f>IF(I77="","",(VLOOKUP($D77,master_food_list,'Master Food List'!S$91,FALSE)))</f>
        <v/>
      </c>
      <c r="K77" s="293" t="str">
        <f>IF(J77="","",(VLOOKUP($D77,master_food_list,'Master Food List'!T$91,FALSE)))</f>
        <v/>
      </c>
    </row>
    <row r="78" spans="1:11" customFormat="1" ht="51" x14ac:dyDescent="0.2">
      <c r="A78" s="286">
        <v>10</v>
      </c>
      <c r="B78" s="287" t="s">
        <v>463</v>
      </c>
      <c r="C78" s="287" t="s">
        <v>459</v>
      </c>
      <c r="D78" s="288" t="s">
        <v>433</v>
      </c>
      <c r="E78" s="293">
        <f ca="1">IF(D78="","",(VLOOKUP($D78,master_food_list,'Master Food List'!N$91,FALSE)))</f>
        <v>280</v>
      </c>
      <c r="F78" s="293">
        <f ca="1">IF(E78="","",(VLOOKUP($D78,master_food_list,'Master Food List'!O$91,FALSE)))</f>
        <v>34</v>
      </c>
      <c r="G78" s="293">
        <f ca="1">IF(F78="","",(VLOOKUP($D78,master_food_list,'Master Food List'!P$91,FALSE)))</f>
        <v>2</v>
      </c>
      <c r="H78" s="293">
        <f ca="1">IF(G78="","",(VLOOKUP($D78,master_food_list,'Master Food List'!Q$91,FALSE)))</f>
        <v>17</v>
      </c>
      <c r="I78" s="293">
        <f ca="1">IF(H78="","",(VLOOKUP($D78,master_food_list,'Master Food List'!R$91,FALSE)))</f>
        <v>0</v>
      </c>
      <c r="J78" s="293">
        <f ca="1">IF(I78="","",(VLOOKUP($D78,master_food_list,'Master Food List'!S$91,FALSE)))</f>
        <v>0</v>
      </c>
      <c r="K78" s="293">
        <f ca="1">IF(J78="","",(VLOOKUP($D78,master_food_list,'Master Food List'!T$91,FALSE)))</f>
        <v>140</v>
      </c>
    </row>
    <row r="79" spans="1:11" customFormat="1" ht="34" x14ac:dyDescent="0.2">
      <c r="A79" s="286">
        <v>10</v>
      </c>
      <c r="B79" s="287" t="s">
        <v>463</v>
      </c>
      <c r="C79" s="287" t="s">
        <v>458</v>
      </c>
      <c r="D79" s="288" t="s">
        <v>409</v>
      </c>
      <c r="E79" s="293">
        <f ca="1">IF(D79="","",(VLOOKUP($D79,master_food_list,'Master Food List'!N$91,FALSE)))</f>
        <v>480</v>
      </c>
      <c r="F79" s="293">
        <f ca="1">IF(E79="","",(VLOOKUP($D79,master_food_list,'Master Food List'!O$91,FALSE)))</f>
        <v>84</v>
      </c>
      <c r="G79" s="293">
        <f ca="1">IF(F79="","",(VLOOKUP($D79,master_food_list,'Master Food List'!P$91,FALSE)))</f>
        <v>30</v>
      </c>
      <c r="H79" s="293">
        <f ca="1">IF(G79="","",(VLOOKUP($D79,master_food_list,'Master Food List'!Q$91,FALSE)))</f>
        <v>3</v>
      </c>
      <c r="I79" s="293">
        <f ca="1">IF(H79="","",(VLOOKUP($D79,master_food_list,'Master Food List'!R$91,FALSE)))</f>
        <v>1530</v>
      </c>
      <c r="J79" s="293">
        <f ca="1">IF(I79="","",(VLOOKUP($D79,master_food_list,'Master Food List'!S$91,FALSE)))</f>
        <v>0</v>
      </c>
      <c r="K79" s="293">
        <f ca="1">IF(J79="","",(VLOOKUP($D79,master_food_list,'Master Food List'!T$91,FALSE)))</f>
        <v>101.93905817174515</v>
      </c>
    </row>
    <row r="80" spans="1:11" customFormat="1" ht="17" x14ac:dyDescent="0.2">
      <c r="A80" s="286">
        <v>10</v>
      </c>
      <c r="B80" s="287" t="s">
        <v>463</v>
      </c>
      <c r="C80" s="287" t="s">
        <v>457</v>
      </c>
      <c r="D80" s="288" t="s">
        <v>479</v>
      </c>
      <c r="E80" s="293">
        <f ca="1">IF(D80="","",(VLOOKUP($D80,master_food_list,'Master Food List'!N$91,FALSE)))</f>
        <v>300</v>
      </c>
      <c r="F80" s="293">
        <f ca="1">IF(E80="","",(VLOOKUP($D80,master_food_list,'Master Food List'!O$91,FALSE)))</f>
        <v>10.5</v>
      </c>
      <c r="G80" s="293">
        <f ca="1">IF(F80="","",(VLOOKUP($D80,master_food_list,'Master Food List'!P$91,FALSE)))</f>
        <v>10.5</v>
      </c>
      <c r="H80" s="293">
        <f ca="1">IF(G80="","",(VLOOKUP($D80,master_food_list,'Master Food List'!Q$91,FALSE)))</f>
        <v>25.5</v>
      </c>
      <c r="I80" s="293">
        <f ca="1">IF(H80="","",(VLOOKUP($D80,master_food_list,'Master Food List'!R$91,FALSE)))</f>
        <v>150</v>
      </c>
      <c r="J80" s="293">
        <f ca="1">IF(I80="","",(VLOOKUP($D80,master_food_list,'Master Food List'!S$91,FALSE)))</f>
        <v>0</v>
      </c>
      <c r="K80" s="293">
        <f ca="1">IF(J80="","",(VLOOKUP($D80,master_food_list,'Master Food List'!T$91,FALSE)))</f>
        <v>177.77777777777777</v>
      </c>
    </row>
    <row r="81" spans="1:11" customFormat="1" ht="17" x14ac:dyDescent="0.2">
      <c r="A81" s="286">
        <v>10</v>
      </c>
      <c r="B81" s="287" t="s">
        <v>463</v>
      </c>
      <c r="C81" s="287" t="s">
        <v>455</v>
      </c>
      <c r="D81" s="288" t="s">
        <v>482</v>
      </c>
      <c r="E81" s="293">
        <f ca="1">IF(D81="","",(VLOOKUP($D81,master_food_list,'Master Food List'!N$91,FALSE)))</f>
        <v>110</v>
      </c>
      <c r="F81" s="293">
        <f ca="1">IF(E81="","",(VLOOKUP($D81,master_food_list,'Master Food List'!O$91,FALSE)))</f>
        <v>21</v>
      </c>
      <c r="G81" s="293">
        <f ca="1">IF(F81="","",(VLOOKUP($D81,master_food_list,'Master Food List'!P$91,FALSE)))</f>
        <v>1</v>
      </c>
      <c r="H81" s="293">
        <f ca="1">IF(G81="","",(VLOOKUP($D81,master_food_list,'Master Food List'!Q$91,FALSE)))</f>
        <v>2</v>
      </c>
      <c r="I81" s="293">
        <f ca="1">IF(H81="","",(VLOOKUP($D81,master_food_list,'Master Food List'!R$91,FALSE)))</f>
        <v>150</v>
      </c>
      <c r="J81" s="293">
        <f ca="1">IF(I81="","",(VLOOKUP($D81,master_food_list,'Master Food List'!S$91,FALSE)))</f>
        <v>0</v>
      </c>
      <c r="K81" s="293">
        <f ca="1">IF(J81="","",(VLOOKUP($D81,master_food_list,'Master Food List'!T$91,FALSE)))</f>
        <v>118.27956989247312</v>
      </c>
    </row>
    <row r="82" spans="1:11" ht="34" x14ac:dyDescent="0.2">
      <c r="A82" s="296"/>
      <c r="B82" s="297" t="s">
        <v>708</v>
      </c>
      <c r="C82" s="297">
        <f>A83-A8</f>
        <v>11</v>
      </c>
      <c r="D82" s="298"/>
      <c r="E82" s="299"/>
      <c r="F82" s="299"/>
      <c r="G82" s="299"/>
      <c r="H82" s="299"/>
      <c r="I82" s="299"/>
      <c r="J82" s="299"/>
      <c r="K82" s="299"/>
    </row>
    <row r="83" spans="1:11" s="190" customFormat="1" ht="34" x14ac:dyDescent="0.2">
      <c r="A83" s="278">
        <v>11</v>
      </c>
      <c r="B83" s="279" t="s">
        <v>15</v>
      </c>
      <c r="C83" s="279" t="s">
        <v>462</v>
      </c>
      <c r="D83" s="280" t="s">
        <v>498</v>
      </c>
      <c r="E83" s="291">
        <f ca="1">IF(D83="","",(VLOOKUP($D83,master_food_list,'Master Food List'!N$91,FALSE)))</f>
        <v>1020</v>
      </c>
      <c r="F83" s="291">
        <f ca="1">IF(E83="","",(VLOOKUP($D83,master_food_list,'Master Food List'!O$91,FALSE)))</f>
        <v>96</v>
      </c>
      <c r="G83" s="291">
        <f ca="1">IF(F83="","",(VLOOKUP($D83,master_food_list,'Master Food List'!P$91,FALSE)))</f>
        <v>34</v>
      </c>
      <c r="H83" s="291">
        <f ca="1">IF(G83="","",(VLOOKUP($D83,master_food_list,'Master Food List'!Q$91,FALSE)))</f>
        <v>53</v>
      </c>
      <c r="I83" s="291">
        <f ca="1">IF(H83="","",(VLOOKUP($D83,master_food_list,'Master Food List'!R$91,FALSE)))</f>
        <v>2460</v>
      </c>
      <c r="J83" s="291">
        <f ca="1">IF(I83="","",(VLOOKUP($D83,master_food_list,'Master Food List'!S$91,FALSE)))</f>
        <v>0</v>
      </c>
      <c r="K83" s="291">
        <f ca="1">IF(J83="","",(VLOOKUP($D83,master_food_list,'Master Food List'!T$91,FALSE)))</f>
        <v>0</v>
      </c>
    </row>
    <row r="84" spans="1:11" s="190" customFormat="1" ht="34" x14ac:dyDescent="0.2">
      <c r="A84" s="278">
        <v>11</v>
      </c>
      <c r="B84" s="279" t="s">
        <v>15</v>
      </c>
      <c r="C84" s="279" t="s">
        <v>461</v>
      </c>
      <c r="D84" s="280" t="s">
        <v>481</v>
      </c>
      <c r="E84" s="291">
        <f ca="1">IF(D84="","",(VLOOKUP($D84,master_food_list,'Master Food List'!N$91,FALSE)))</f>
        <v>400</v>
      </c>
      <c r="F84" s="291">
        <f ca="1">IF(E84="","",(VLOOKUP($D84,master_food_list,'Master Food List'!O$91,FALSE)))</f>
        <v>72</v>
      </c>
      <c r="G84" s="291">
        <f ca="1">IF(F84="","",(VLOOKUP($D84,master_food_list,'Master Food List'!P$91,FALSE)))</f>
        <v>6</v>
      </c>
      <c r="H84" s="291">
        <f ca="1">IF(G84="","",(VLOOKUP($D84,master_food_list,'Master Food List'!Q$91,FALSE)))</f>
        <v>10</v>
      </c>
      <c r="I84" s="291">
        <f ca="1">IF(H84="","",(VLOOKUP($D84,master_food_list,'Master Food List'!R$91,FALSE)))</f>
        <v>420</v>
      </c>
      <c r="J84" s="291">
        <f ca="1">IF(I84="","",(VLOOKUP($D84,master_food_list,'Master Food List'!S$91,FALSE)))</f>
        <v>0</v>
      </c>
      <c r="K84" s="291">
        <f ca="1">IF(J84="","",(VLOOKUP($D84,master_food_list,'Master Food List'!T$91,FALSE)))</f>
        <v>109.09090909090909</v>
      </c>
    </row>
    <row r="85" spans="1:11" s="190" customFormat="1" ht="34" x14ac:dyDescent="0.2">
      <c r="A85" s="278">
        <v>11</v>
      </c>
      <c r="B85" s="279" t="s">
        <v>15</v>
      </c>
      <c r="C85" s="279" t="s">
        <v>460</v>
      </c>
      <c r="D85" s="280" t="s">
        <v>495</v>
      </c>
      <c r="E85" s="291">
        <f ca="1">IF(D85="","",(VLOOKUP($D85,master_food_list,'Master Food List'!N$91,FALSE)))</f>
        <v>122</v>
      </c>
      <c r="F85" s="291">
        <f ca="1">IF(E85="","",(VLOOKUP($D85,master_food_list,'Master Food List'!O$91,FALSE)))</f>
        <v>18</v>
      </c>
      <c r="G85" s="291">
        <f ca="1">IF(F85="","",(VLOOKUP($D85,master_food_list,'Master Food List'!P$91,FALSE)))</f>
        <v>9</v>
      </c>
      <c r="H85" s="291">
        <f ca="1">IF(G85="","",(VLOOKUP($D85,master_food_list,'Master Food List'!Q$91,FALSE)))</f>
        <v>7.5</v>
      </c>
      <c r="I85" s="291">
        <f ca="1">IF(H85="","",(VLOOKUP($D85,master_food_list,'Master Food List'!R$91,FALSE)))</f>
        <v>105</v>
      </c>
      <c r="J85" s="291">
        <f ca="1">IF(I85="","",(VLOOKUP($D85,master_food_list,'Master Food List'!S$91,FALSE)))</f>
        <v>0</v>
      </c>
      <c r="K85" s="291">
        <f ca="1">IF(J85="","",(VLOOKUP($D85,master_food_list,'Master Food List'!T$91,FALSE)))</f>
        <v>0</v>
      </c>
    </row>
    <row r="86" spans="1:11" s="190" customFormat="1" ht="34" x14ac:dyDescent="0.2">
      <c r="A86" s="278">
        <v>11</v>
      </c>
      <c r="B86" s="279" t="s">
        <v>15</v>
      </c>
      <c r="C86" s="279" t="s">
        <v>459</v>
      </c>
      <c r="D86" s="280" t="s">
        <v>494</v>
      </c>
      <c r="E86" s="291">
        <f ca="1">IF(D86="","",(VLOOKUP($D86,master_food_list,'Master Food List'!N$91,FALSE)))</f>
        <v>270</v>
      </c>
      <c r="F86" s="291">
        <f ca="1">IF(E86="","",(VLOOKUP($D86,master_food_list,'Master Food List'!O$91,FALSE)))</f>
        <v>72</v>
      </c>
      <c r="G86" s="291">
        <f ca="1">IF(F86="","",(VLOOKUP($D86,master_food_list,'Master Food List'!P$91,FALSE)))</f>
        <v>3</v>
      </c>
      <c r="H86" s="291">
        <f ca="1">IF(G86="","",(VLOOKUP($D86,master_food_list,'Master Food List'!Q$91,FALSE)))</f>
        <v>0</v>
      </c>
      <c r="I86" s="291">
        <f ca="1">IF(H86="","",(VLOOKUP($D86,master_food_list,'Master Food List'!R$91,FALSE)))</f>
        <v>0</v>
      </c>
      <c r="J86" s="291">
        <f ca="1">IF(I86="","",(VLOOKUP($D86,master_food_list,'Master Food List'!S$91,FALSE)))</f>
        <v>0</v>
      </c>
      <c r="K86" s="291">
        <f ca="1">IF(J86="","",(VLOOKUP($D86,master_food_list,'Master Food List'!T$91,FALSE)))</f>
        <v>112.5</v>
      </c>
    </row>
    <row r="87" spans="1:11" s="190" customFormat="1" ht="34" x14ac:dyDescent="0.2">
      <c r="A87" s="278">
        <v>11</v>
      </c>
      <c r="B87" s="279" t="s">
        <v>15</v>
      </c>
      <c r="C87" s="279" t="s">
        <v>458</v>
      </c>
      <c r="D87" s="280" t="s">
        <v>493</v>
      </c>
      <c r="E87" s="291">
        <f ca="1">IF(D87="","",(VLOOKUP($D87,master_food_list,'Master Food List'!N$91,FALSE)))</f>
        <v>1000</v>
      </c>
      <c r="F87" s="291">
        <f ca="1">IF(E87="","",(VLOOKUP($D87,master_food_list,'Master Food List'!O$91,FALSE)))</f>
        <v>112</v>
      </c>
      <c r="G87" s="291">
        <f ca="1">IF(F87="","",(VLOOKUP($D87,master_food_list,'Master Food List'!P$91,FALSE)))</f>
        <v>40</v>
      </c>
      <c r="H87" s="291">
        <f ca="1">IF(G87="","",(VLOOKUP($D87,master_food_list,'Master Food List'!Q$91,FALSE)))</f>
        <v>52</v>
      </c>
      <c r="I87" s="291">
        <f ca="1">IF(H87="","",(VLOOKUP($D87,master_food_list,'Master Food List'!R$91,FALSE)))</f>
        <v>460</v>
      </c>
      <c r="J87" s="291">
        <f ca="1">IF(I87="","",(VLOOKUP($D87,master_food_list,'Master Food List'!S$91,FALSE)))</f>
        <v>0</v>
      </c>
      <c r="K87" s="291">
        <f ca="1">IF(J87="","",(VLOOKUP($D87,master_food_list,'Master Food List'!T$91,FALSE)))</f>
        <v>123.4567901234568</v>
      </c>
    </row>
    <row r="88" spans="1:11" s="190" customFormat="1" ht="34" x14ac:dyDescent="0.2">
      <c r="A88" s="278">
        <v>11</v>
      </c>
      <c r="B88" s="279" t="s">
        <v>15</v>
      </c>
      <c r="C88" s="279" t="s">
        <v>457</v>
      </c>
      <c r="D88" s="280"/>
      <c r="E88" s="291" t="str">
        <f>IF(D88="","",(VLOOKUP($D88,master_food_list,'Master Food List'!N$91,FALSE)))</f>
        <v/>
      </c>
      <c r="F88" s="291" t="str">
        <f>IF(E88="","",(VLOOKUP($D88,master_food_list,'Master Food List'!O$91,FALSE)))</f>
        <v/>
      </c>
      <c r="G88" s="291" t="str">
        <f>IF(F88="","",(VLOOKUP($D88,master_food_list,'Master Food List'!P$91,FALSE)))</f>
        <v/>
      </c>
      <c r="H88" s="291" t="str">
        <f>IF(G88="","",(VLOOKUP($D88,master_food_list,'Master Food List'!Q$91,FALSE)))</f>
        <v/>
      </c>
      <c r="I88" s="291" t="str">
        <f>IF(H88="","",(VLOOKUP($D88,master_food_list,'Master Food List'!R$91,FALSE)))</f>
        <v/>
      </c>
      <c r="J88" s="291" t="str">
        <f>IF(I88="","",(VLOOKUP($D88,master_food_list,'Master Food List'!S$91,FALSE)))</f>
        <v/>
      </c>
      <c r="K88" s="291" t="str">
        <f>IF(J88="","",(VLOOKUP($D88,master_food_list,'Master Food List'!T$91,FALSE)))</f>
        <v/>
      </c>
    </row>
    <row r="89" spans="1:11" s="190" customFormat="1" ht="34" x14ac:dyDescent="0.2">
      <c r="A89" s="278">
        <v>11</v>
      </c>
      <c r="B89" s="279" t="s">
        <v>15</v>
      </c>
      <c r="C89" s="279" t="s">
        <v>455</v>
      </c>
      <c r="D89" s="280" t="s">
        <v>484</v>
      </c>
      <c r="E89" s="291">
        <f ca="1">IF(D89="","",(VLOOKUP($D89,master_food_list,'Master Food List'!N$91,FALSE)))</f>
        <v>540</v>
      </c>
      <c r="F89" s="291">
        <f ca="1">IF(E89="","",(VLOOKUP($D89,master_food_list,'Master Food List'!O$91,FALSE)))</f>
        <v>72</v>
      </c>
      <c r="G89" s="291">
        <f ca="1">IF(F89="","",(VLOOKUP($D89,master_food_list,'Master Food List'!P$91,FALSE)))</f>
        <v>14</v>
      </c>
      <c r="H89" s="291">
        <f ca="1">IF(G89="","",(VLOOKUP($D89,master_food_list,'Master Food List'!Q$91,FALSE)))</f>
        <v>22</v>
      </c>
      <c r="I89" s="291">
        <f ca="1">IF(H89="","",(VLOOKUP($D89,master_food_list,'Master Food List'!R$91,FALSE)))</f>
        <v>780</v>
      </c>
      <c r="J89" s="291">
        <f ca="1">IF(I89="","",(VLOOKUP($D89,master_food_list,'Master Food List'!S$91,FALSE)))</f>
        <v>0</v>
      </c>
      <c r="K89" s="291">
        <f ca="1">IF(J89="","",(VLOOKUP($D89,master_food_list,'Master Food List'!T$91,FALSE)))</f>
        <v>117.39130434782609</v>
      </c>
    </row>
    <row r="90" spans="1:11" s="189" customFormat="1" ht="34" x14ac:dyDescent="0.2">
      <c r="A90" s="282">
        <v>12</v>
      </c>
      <c r="B90" s="283" t="s">
        <v>15</v>
      </c>
      <c r="C90" s="283" t="s">
        <v>462</v>
      </c>
      <c r="D90" s="284" t="s">
        <v>480</v>
      </c>
      <c r="E90" s="292">
        <f ca="1">IF(D90="","",(VLOOKUP($D90,master_food_list,'Master Food List'!N$91,FALSE)))</f>
        <v>620</v>
      </c>
      <c r="F90" s="292">
        <f ca="1">IF(E90="","",(VLOOKUP($D90,master_food_list,'Master Food List'!O$91,FALSE)))</f>
        <v>74</v>
      </c>
      <c r="G90" s="292">
        <f ca="1">IF(F90="","",(VLOOKUP($D90,master_food_list,'Master Food List'!P$91,FALSE)))</f>
        <v>16</v>
      </c>
      <c r="H90" s="292">
        <f ca="1">IF(G90="","",(VLOOKUP($D90,master_food_list,'Master Food List'!Q$91,FALSE)))</f>
        <v>31</v>
      </c>
      <c r="I90" s="292">
        <f ca="1">IF(H90="","",(VLOOKUP($D90,master_food_list,'Master Food List'!R$91,FALSE)))</f>
        <v>280</v>
      </c>
      <c r="J90" s="292">
        <f ca="1">IF(I90="","",(VLOOKUP($D90,master_food_list,'Master Food List'!S$91,FALSE)))</f>
        <v>0</v>
      </c>
      <c r="K90" s="292">
        <f ca="1">IF(J90="","",(VLOOKUP($D90,master_food_list,'Master Food List'!T$91,FALSE)))</f>
        <v>130.52631578947367</v>
      </c>
    </row>
    <row r="91" spans="1:11" s="189" customFormat="1" ht="34" x14ac:dyDescent="0.2">
      <c r="A91" s="282">
        <v>12</v>
      </c>
      <c r="B91" s="283" t="s">
        <v>15</v>
      </c>
      <c r="C91" s="283" t="s">
        <v>461</v>
      </c>
      <c r="D91" s="284" t="s">
        <v>347</v>
      </c>
      <c r="E91" s="292">
        <f ca="1">IF(D91="","",(VLOOKUP($D91,master_food_list,'Master Food List'!N$91,FALSE)))</f>
        <v>665</v>
      </c>
      <c r="F91" s="292">
        <f ca="1">IF(E91="","",(VLOOKUP($D91,master_food_list,'Master Food List'!O$91,FALSE)))</f>
        <v>0</v>
      </c>
      <c r="G91" s="292">
        <f ca="1">IF(F91="","",(VLOOKUP($D91,master_food_list,'Master Food List'!P$91,FALSE)))</f>
        <v>35</v>
      </c>
      <c r="H91" s="292">
        <f ca="1">IF(G91="","",(VLOOKUP($D91,master_food_list,'Master Food List'!Q$91,FALSE)))</f>
        <v>56</v>
      </c>
      <c r="I91" s="292">
        <f ca="1">IF(H91="","",(VLOOKUP($D91,master_food_list,'Master Food List'!R$91,FALSE)))</f>
        <v>2415</v>
      </c>
      <c r="J91" s="292">
        <f ca="1">IF(I91="","",(VLOOKUP($D91,master_food_list,'Master Food List'!S$91,FALSE)))</f>
        <v>0</v>
      </c>
      <c r="K91" s="292">
        <f ca="1">IF(J91="","",(VLOOKUP($D91,master_food_list,'Master Food List'!T$91,FALSE)))</f>
        <v>180.70652173913044</v>
      </c>
    </row>
    <row r="92" spans="1:11" s="189" customFormat="1" ht="34" x14ac:dyDescent="0.2">
      <c r="A92" s="282">
        <v>12</v>
      </c>
      <c r="B92" s="283" t="s">
        <v>15</v>
      </c>
      <c r="C92" s="283" t="s">
        <v>460</v>
      </c>
      <c r="D92" s="284" t="s">
        <v>495</v>
      </c>
      <c r="E92" s="292">
        <f ca="1">IF(D92="","",(VLOOKUP($D92,master_food_list,'Master Food List'!N$91,FALSE)))</f>
        <v>122</v>
      </c>
      <c r="F92" s="292">
        <f ca="1">IF(E92="","",(VLOOKUP($D92,master_food_list,'Master Food List'!O$91,FALSE)))</f>
        <v>18</v>
      </c>
      <c r="G92" s="292">
        <f ca="1">IF(F92="","",(VLOOKUP($D92,master_food_list,'Master Food List'!P$91,FALSE)))</f>
        <v>9</v>
      </c>
      <c r="H92" s="292">
        <f ca="1">IF(G92="","",(VLOOKUP($D92,master_food_list,'Master Food List'!Q$91,FALSE)))</f>
        <v>7.5</v>
      </c>
      <c r="I92" s="292">
        <f ca="1">IF(H92="","",(VLOOKUP($D92,master_food_list,'Master Food List'!R$91,FALSE)))</f>
        <v>105</v>
      </c>
      <c r="J92" s="292">
        <f ca="1">IF(I92="","",(VLOOKUP($D92,master_food_list,'Master Food List'!S$91,FALSE)))</f>
        <v>0</v>
      </c>
      <c r="K92" s="292">
        <f ca="1">IF(J92="","",(VLOOKUP($D92,master_food_list,'Master Food List'!T$91,FALSE)))</f>
        <v>0</v>
      </c>
    </row>
    <row r="93" spans="1:11" s="189" customFormat="1" ht="51" x14ac:dyDescent="0.2">
      <c r="A93" s="282">
        <v>12</v>
      </c>
      <c r="B93" s="283" t="s">
        <v>15</v>
      </c>
      <c r="C93" s="283" t="s">
        <v>459</v>
      </c>
      <c r="D93" s="284" t="s">
        <v>430</v>
      </c>
      <c r="E93" s="292">
        <f ca="1">IF(D93="","",(VLOOKUP($D93,master_food_list,'Master Food List'!N$91,FALSE)))</f>
        <v>510</v>
      </c>
      <c r="F93" s="292">
        <f ca="1">IF(E93="","",(VLOOKUP($D93,master_food_list,'Master Food List'!O$91,FALSE)))</f>
        <v>42</v>
      </c>
      <c r="G93" s="292">
        <f ca="1">IF(F93="","",(VLOOKUP($D93,master_food_list,'Master Food List'!P$91,FALSE)))</f>
        <v>10.5</v>
      </c>
      <c r="H93" s="292">
        <f ca="1">IF(G93="","",(VLOOKUP($D93,master_food_list,'Master Food List'!Q$91,FALSE)))</f>
        <v>33</v>
      </c>
      <c r="I93" s="292">
        <f ca="1">IF(H93="","",(VLOOKUP($D93,master_food_list,'Master Food List'!R$91,FALSE)))</f>
        <v>75</v>
      </c>
      <c r="J93" s="292">
        <f ca="1">IF(I93="","",(VLOOKUP($D93,master_food_list,'Master Food List'!S$91,FALSE)))</f>
        <v>0</v>
      </c>
      <c r="K93" s="292">
        <f ca="1">IF(J93="","",(VLOOKUP($D93,master_food_list,'Master Food List'!T$91,FALSE)))</f>
        <v>170</v>
      </c>
    </row>
    <row r="94" spans="1:11" s="189" customFormat="1" ht="34" x14ac:dyDescent="0.2">
      <c r="A94" s="282">
        <v>12</v>
      </c>
      <c r="B94" s="283" t="s">
        <v>15</v>
      </c>
      <c r="C94" s="283" t="s">
        <v>458</v>
      </c>
      <c r="D94" s="284" t="s">
        <v>486</v>
      </c>
      <c r="E94" s="292">
        <f ca="1">IF(D94="","",(VLOOKUP($D94,master_food_list,'Master Food List'!N$91,FALSE)))</f>
        <v>960</v>
      </c>
      <c r="F94" s="292">
        <f ca="1">IF(E94="","",(VLOOKUP($D94,master_food_list,'Master Food List'!O$91,FALSE)))</f>
        <v>178</v>
      </c>
      <c r="G94" s="292">
        <f ca="1">IF(F94="","",(VLOOKUP($D94,master_food_list,'Master Food List'!P$91,FALSE)))</f>
        <v>34</v>
      </c>
      <c r="H94" s="292">
        <f ca="1">IF(G94="","",(VLOOKUP($D94,master_food_list,'Master Food List'!Q$91,FALSE)))</f>
        <v>12</v>
      </c>
      <c r="I94" s="292">
        <f ca="1">IF(H94="","",(VLOOKUP($D94,master_food_list,'Master Food List'!R$91,FALSE)))</f>
        <v>1620</v>
      </c>
      <c r="J94" s="292">
        <f ca="1">IF(I94="","",(VLOOKUP($D94,master_food_list,'Master Food List'!S$91,FALSE)))</f>
        <v>0</v>
      </c>
      <c r="K94" s="292">
        <f ca="1">IF(J94="","",(VLOOKUP($D94,master_food_list,'Master Food List'!T$91,FALSE)))</f>
        <v>109.09090909090908</v>
      </c>
    </row>
    <row r="95" spans="1:11" s="189" customFormat="1" ht="34" x14ac:dyDescent="0.2">
      <c r="A95" s="282">
        <v>12</v>
      </c>
      <c r="B95" s="283" t="s">
        <v>15</v>
      </c>
      <c r="C95" s="283" t="s">
        <v>457</v>
      </c>
      <c r="D95" s="284" t="s">
        <v>479</v>
      </c>
      <c r="E95" s="292">
        <f ca="1">IF(D95="","",(VLOOKUP($D95,master_food_list,'Master Food List'!N$91,FALSE)))</f>
        <v>300</v>
      </c>
      <c r="F95" s="292">
        <f ca="1">IF(E95="","",(VLOOKUP($D95,master_food_list,'Master Food List'!O$91,FALSE)))</f>
        <v>10.5</v>
      </c>
      <c r="G95" s="292">
        <f ca="1">IF(F95="","",(VLOOKUP($D95,master_food_list,'Master Food List'!P$91,FALSE)))</f>
        <v>10.5</v>
      </c>
      <c r="H95" s="292">
        <f ca="1">IF(G95="","",(VLOOKUP($D95,master_food_list,'Master Food List'!Q$91,FALSE)))</f>
        <v>25.5</v>
      </c>
      <c r="I95" s="292">
        <f ca="1">IF(H95="","",(VLOOKUP($D95,master_food_list,'Master Food List'!R$91,FALSE)))</f>
        <v>150</v>
      </c>
      <c r="J95" s="292">
        <f ca="1">IF(I95="","",(VLOOKUP($D95,master_food_list,'Master Food List'!S$91,FALSE)))</f>
        <v>0</v>
      </c>
      <c r="K95" s="292">
        <f ca="1">IF(J95="","",(VLOOKUP($D95,master_food_list,'Master Food List'!T$91,FALSE)))</f>
        <v>177.77777777777777</v>
      </c>
    </row>
    <row r="96" spans="1:11" s="189" customFormat="1" ht="34" x14ac:dyDescent="0.2">
      <c r="A96" s="282">
        <v>12</v>
      </c>
      <c r="B96" s="283" t="s">
        <v>15</v>
      </c>
      <c r="C96" s="283" t="s">
        <v>455</v>
      </c>
      <c r="D96" s="284" t="s">
        <v>482</v>
      </c>
      <c r="E96" s="292">
        <f ca="1">IF(D96="","",(VLOOKUP($D96,master_food_list,'Master Food List'!N$91,FALSE)))</f>
        <v>110</v>
      </c>
      <c r="F96" s="292">
        <f ca="1">IF(E96="","",(VLOOKUP($D96,master_food_list,'Master Food List'!O$91,FALSE)))</f>
        <v>21</v>
      </c>
      <c r="G96" s="292">
        <f ca="1">IF(F96="","",(VLOOKUP($D96,master_food_list,'Master Food List'!P$91,FALSE)))</f>
        <v>1</v>
      </c>
      <c r="H96" s="292">
        <f ca="1">IF(G96="","",(VLOOKUP($D96,master_food_list,'Master Food List'!Q$91,FALSE)))</f>
        <v>2</v>
      </c>
      <c r="I96" s="292">
        <f ca="1">IF(H96="","",(VLOOKUP($D96,master_food_list,'Master Food List'!R$91,FALSE)))</f>
        <v>150</v>
      </c>
      <c r="J96" s="292">
        <f ca="1">IF(I96="","",(VLOOKUP($D96,master_food_list,'Master Food List'!S$91,FALSE)))</f>
        <v>0</v>
      </c>
      <c r="K96" s="292">
        <f ca="1">IF(J96="","",(VLOOKUP($D96,master_food_list,'Master Food List'!T$91,FALSE)))</f>
        <v>118.27956989247312</v>
      </c>
    </row>
    <row r="97" spans="1:11" customFormat="1" ht="34" x14ac:dyDescent="0.2">
      <c r="A97" s="286">
        <v>13</v>
      </c>
      <c r="B97" s="287" t="s">
        <v>15</v>
      </c>
      <c r="C97" s="287" t="s">
        <v>462</v>
      </c>
      <c r="D97" s="288" t="s">
        <v>485</v>
      </c>
      <c r="E97" s="293">
        <f ca="1">IF(D97="","",(VLOOKUP($D97,master_food_list,'Master Food List'!N$91,FALSE)))</f>
        <v>500</v>
      </c>
      <c r="F97" s="293">
        <f ca="1">IF(E97="","",(VLOOKUP($D97,master_food_list,'Master Food List'!O$91,FALSE)))</f>
        <v>74</v>
      </c>
      <c r="G97" s="293">
        <f ca="1">IF(F97="","",(VLOOKUP($D97,master_food_list,'Master Food List'!P$91,FALSE)))</f>
        <v>16</v>
      </c>
      <c r="H97" s="293">
        <f ca="1">IF(G97="","",(VLOOKUP($D97,master_food_list,'Master Food List'!Q$91,FALSE)))</f>
        <v>18</v>
      </c>
      <c r="I97" s="293">
        <f ca="1">IF(H97="","",(VLOOKUP($D97,master_food_list,'Master Food List'!R$91,FALSE)))</f>
        <v>130</v>
      </c>
      <c r="J97" s="293">
        <f ca="1">IF(I97="","",(VLOOKUP($D97,master_food_list,'Master Food List'!S$91,FALSE)))</f>
        <v>0</v>
      </c>
      <c r="K97" s="293">
        <f ca="1">IF(J97="","",(VLOOKUP($D97,master_food_list,'Master Food List'!T$91,FALSE)))</f>
        <v>126.55024044545685</v>
      </c>
    </row>
    <row r="98" spans="1:11" customFormat="1" ht="34" x14ac:dyDescent="0.2">
      <c r="A98" s="286">
        <v>13</v>
      </c>
      <c r="B98" s="287" t="s">
        <v>15</v>
      </c>
      <c r="C98" s="287" t="s">
        <v>461</v>
      </c>
      <c r="D98" s="288" t="s">
        <v>354</v>
      </c>
      <c r="E98" s="293">
        <f ca="1">IF(D98="","",(VLOOKUP($D98,master_food_list,'Master Food List'!N$91,FALSE)))</f>
        <v>270</v>
      </c>
      <c r="F98" s="293">
        <f ca="1">IF(E98="","",(VLOOKUP($D98,master_food_list,'Master Food List'!O$91,FALSE)))</f>
        <v>72</v>
      </c>
      <c r="G98" s="293">
        <f ca="1">IF(F98="","",(VLOOKUP($D98,master_food_list,'Master Food List'!P$91,FALSE)))</f>
        <v>3</v>
      </c>
      <c r="H98" s="293">
        <f ca="1">IF(G98="","",(VLOOKUP($D98,master_food_list,'Master Food List'!Q$91,FALSE)))</f>
        <v>0</v>
      </c>
      <c r="I98" s="293">
        <f ca="1">IF(H98="","",(VLOOKUP($D98,master_food_list,'Master Food List'!R$91,FALSE)))</f>
        <v>0</v>
      </c>
      <c r="J98" s="293">
        <f ca="1">IF(I98="","",(VLOOKUP($D98,master_food_list,'Master Food List'!S$91,FALSE)))</f>
        <v>0</v>
      </c>
      <c r="K98" s="293">
        <f ca="1">IF(J98="","",(VLOOKUP($D98,master_food_list,'Master Food List'!T$91,FALSE)))</f>
        <v>112.5</v>
      </c>
    </row>
    <row r="99" spans="1:11" customFormat="1" ht="34" x14ac:dyDescent="0.2">
      <c r="A99" s="286">
        <v>13</v>
      </c>
      <c r="B99" s="287" t="s">
        <v>15</v>
      </c>
      <c r="C99" s="287" t="s">
        <v>460</v>
      </c>
      <c r="D99" s="288"/>
      <c r="E99" s="293" t="str">
        <f>IF(D99="","",(VLOOKUP($D99,master_food_list,'Master Food List'!N$91,FALSE)))</f>
        <v/>
      </c>
      <c r="F99" s="293" t="str">
        <f>IF(E99="","",(VLOOKUP($D99,master_food_list,'Master Food List'!O$91,FALSE)))</f>
        <v/>
      </c>
      <c r="G99" s="293" t="str">
        <f>IF(F99="","",(VLOOKUP($D99,master_food_list,'Master Food List'!P$91,FALSE)))</f>
        <v/>
      </c>
      <c r="H99" s="293" t="str">
        <f>IF(G99="","",(VLOOKUP($D99,master_food_list,'Master Food List'!Q$91,FALSE)))</f>
        <v/>
      </c>
      <c r="I99" s="293" t="str">
        <f>IF(H99="","",(VLOOKUP($D99,master_food_list,'Master Food List'!R$91,FALSE)))</f>
        <v/>
      </c>
      <c r="J99" s="293" t="str">
        <f>IF(I99="","",(VLOOKUP($D99,master_food_list,'Master Food List'!S$91,FALSE)))</f>
        <v/>
      </c>
      <c r="K99" s="293" t="str">
        <f>IF(J99="","",(VLOOKUP($D99,master_food_list,'Master Food List'!T$91,FALSE)))</f>
        <v/>
      </c>
    </row>
    <row r="100" spans="1:11" customFormat="1" ht="34" x14ac:dyDescent="0.2">
      <c r="A100" s="286">
        <v>13</v>
      </c>
      <c r="B100" s="287" t="s">
        <v>15</v>
      </c>
      <c r="C100" s="287" t="s">
        <v>459</v>
      </c>
      <c r="D100" s="288" t="s">
        <v>427</v>
      </c>
      <c r="E100" s="293">
        <f ca="1">IF(D100="","",(VLOOKUP($D100,master_food_list,'Master Food List'!N$91,FALSE)))</f>
        <v>300</v>
      </c>
      <c r="F100" s="293">
        <f ca="1">IF(E100="","",(VLOOKUP($D100,master_food_list,'Master Food List'!O$91,FALSE)))</f>
        <v>24</v>
      </c>
      <c r="G100" s="293">
        <f ca="1">IF(F100="","",(VLOOKUP($D100,master_food_list,'Master Food List'!P$91,FALSE)))</f>
        <v>8</v>
      </c>
      <c r="H100" s="293">
        <f ca="1">IF(G100="","",(VLOOKUP($D100,master_food_list,'Master Food List'!Q$91,FALSE)))</f>
        <v>20</v>
      </c>
      <c r="I100" s="293">
        <f ca="1">IF(H100="","",(VLOOKUP($D100,master_food_list,'Master Food List'!R$91,FALSE)))</f>
        <v>120</v>
      </c>
      <c r="J100" s="293">
        <f ca="1">IF(I100="","",(VLOOKUP($D100,master_food_list,'Master Food List'!S$91,FALSE)))</f>
        <v>0</v>
      </c>
      <c r="K100" s="293">
        <f ca="1">IF(J100="","",(VLOOKUP($D100,master_food_list,'Master Food List'!T$91,FALSE)))</f>
        <v>150</v>
      </c>
    </row>
    <row r="101" spans="1:11" customFormat="1" ht="34" x14ac:dyDescent="0.2">
      <c r="A101" s="286">
        <v>13</v>
      </c>
      <c r="B101" s="287" t="s">
        <v>15</v>
      </c>
      <c r="C101" s="287" t="s">
        <v>458</v>
      </c>
      <c r="D101" s="288" t="s">
        <v>336</v>
      </c>
      <c r="E101" s="293">
        <f ca="1">IF(D101="","",(VLOOKUP($D101,master_food_list,'Master Food List'!N$91,FALSE)))</f>
        <v>575</v>
      </c>
      <c r="F101" s="293">
        <f ca="1">IF(E101="","",(VLOOKUP($D101,master_food_list,'Master Food List'!O$91,FALSE)))</f>
        <v>77.5</v>
      </c>
      <c r="G101" s="293">
        <f ca="1">IF(F101="","",(VLOOKUP($D101,master_food_list,'Master Food List'!P$91,FALSE)))</f>
        <v>30</v>
      </c>
      <c r="H101" s="293">
        <f ca="1">IF(G101="","",(VLOOKUP($D101,master_food_list,'Master Food List'!Q$91,FALSE)))</f>
        <v>15</v>
      </c>
      <c r="I101" s="293">
        <f ca="1">IF(H101="","",(VLOOKUP($D101,master_food_list,'Master Food List'!R$91,FALSE)))</f>
        <v>1950</v>
      </c>
      <c r="J101" s="293">
        <f ca="1">IF(I101="","",(VLOOKUP($D101,master_food_list,'Master Food List'!S$91,FALSE)))</f>
        <v>0</v>
      </c>
      <c r="K101" s="293">
        <f ca="1">IF(J101="","",(VLOOKUP($D101,master_food_list,'Master Food List'!T$91,FALSE)))</f>
        <v>117.2870984191739</v>
      </c>
    </row>
    <row r="102" spans="1:11" customFormat="1" ht="34" x14ac:dyDescent="0.2">
      <c r="A102" s="286">
        <v>13</v>
      </c>
      <c r="B102" s="287" t="s">
        <v>15</v>
      </c>
      <c r="C102" s="287" t="s">
        <v>457</v>
      </c>
      <c r="D102" s="288" t="s">
        <v>479</v>
      </c>
      <c r="E102" s="293">
        <f ca="1">IF(D102="","",(VLOOKUP($D102,master_food_list,'Master Food List'!N$91,FALSE)))</f>
        <v>300</v>
      </c>
      <c r="F102" s="293">
        <f ca="1">IF(E102="","",(VLOOKUP($D102,master_food_list,'Master Food List'!O$91,FALSE)))</f>
        <v>10.5</v>
      </c>
      <c r="G102" s="293">
        <f ca="1">IF(F102="","",(VLOOKUP($D102,master_food_list,'Master Food List'!P$91,FALSE)))</f>
        <v>10.5</v>
      </c>
      <c r="H102" s="293">
        <f ca="1">IF(G102="","",(VLOOKUP($D102,master_food_list,'Master Food List'!Q$91,FALSE)))</f>
        <v>25.5</v>
      </c>
      <c r="I102" s="293">
        <f ca="1">IF(H102="","",(VLOOKUP($D102,master_food_list,'Master Food List'!R$91,FALSE)))</f>
        <v>150</v>
      </c>
      <c r="J102" s="293">
        <f ca="1">IF(I102="","",(VLOOKUP($D102,master_food_list,'Master Food List'!S$91,FALSE)))</f>
        <v>0</v>
      </c>
      <c r="K102" s="293">
        <f ca="1">IF(J102="","",(VLOOKUP($D102,master_food_list,'Master Food List'!T$91,FALSE)))</f>
        <v>177.77777777777777</v>
      </c>
    </row>
    <row r="103" spans="1:11" customFormat="1" ht="34" x14ac:dyDescent="0.2">
      <c r="A103" s="286">
        <v>13</v>
      </c>
      <c r="B103" s="287" t="s">
        <v>15</v>
      </c>
      <c r="C103" s="287" t="s">
        <v>455</v>
      </c>
      <c r="D103" s="288" t="s">
        <v>478</v>
      </c>
      <c r="E103" s="293">
        <f ca="1">IF(D103="","",(VLOOKUP($D103,master_food_list,'Master Food List'!N$91,FALSE)))</f>
        <v>540</v>
      </c>
      <c r="F103" s="293">
        <f ca="1">IF(E103="","",(VLOOKUP($D103,master_food_list,'Master Food List'!O$91,FALSE)))</f>
        <v>105</v>
      </c>
      <c r="G103" s="293">
        <f ca="1">IF(F103="","",(VLOOKUP($D103,master_food_list,'Master Food List'!P$91,FALSE)))</f>
        <v>6</v>
      </c>
      <c r="H103" s="293">
        <f ca="1">IF(G103="","",(VLOOKUP($D103,master_food_list,'Master Food List'!Q$91,FALSE)))</f>
        <v>12</v>
      </c>
      <c r="I103" s="293">
        <f ca="1">IF(H103="","",(VLOOKUP($D103,master_food_list,'Master Food List'!R$91,FALSE)))</f>
        <v>240</v>
      </c>
      <c r="J103" s="293">
        <f ca="1">IF(I103="","",(VLOOKUP($D103,master_food_list,'Master Food List'!S$91,FALSE)))</f>
        <v>0</v>
      </c>
      <c r="K103" s="293">
        <f ca="1">IF(J103="","",(VLOOKUP($D103,master_food_list,'Master Food List'!T$91,FALSE)))</f>
        <v>117.64705882352942</v>
      </c>
    </row>
    <row r="104" spans="1:11" customFormat="1" ht="34" x14ac:dyDescent="0.2">
      <c r="A104" s="286">
        <v>14</v>
      </c>
      <c r="B104" s="287" t="s">
        <v>15</v>
      </c>
      <c r="C104" s="287" t="s">
        <v>462</v>
      </c>
      <c r="D104" s="288" t="s">
        <v>485</v>
      </c>
      <c r="E104" s="293">
        <f ca="1">IF(D104="","",(VLOOKUP($D104,master_food_list,'Master Food List'!N$91,FALSE)))</f>
        <v>500</v>
      </c>
      <c r="F104" s="293">
        <f ca="1">IF(E104="","",(VLOOKUP($D104,master_food_list,'Master Food List'!O$91,FALSE)))</f>
        <v>74</v>
      </c>
      <c r="G104" s="293">
        <f ca="1">IF(F104="","",(VLOOKUP($D104,master_food_list,'Master Food List'!P$91,FALSE)))</f>
        <v>16</v>
      </c>
      <c r="H104" s="293">
        <f ca="1">IF(G104="","",(VLOOKUP($D104,master_food_list,'Master Food List'!Q$91,FALSE)))</f>
        <v>18</v>
      </c>
      <c r="I104" s="293">
        <f ca="1">IF(H104="","",(VLOOKUP($D104,master_food_list,'Master Food List'!R$91,FALSE)))</f>
        <v>130</v>
      </c>
      <c r="J104" s="293">
        <f ca="1">IF(I104="","",(VLOOKUP($D104,master_food_list,'Master Food List'!S$91,FALSE)))</f>
        <v>0</v>
      </c>
      <c r="K104" s="293">
        <f ca="1">IF(J104="","",(VLOOKUP($D104,master_food_list,'Master Food List'!T$91,FALSE)))</f>
        <v>126.55024044545685</v>
      </c>
    </row>
    <row r="105" spans="1:11" customFormat="1" ht="51" x14ac:dyDescent="0.2">
      <c r="A105" s="286">
        <v>14</v>
      </c>
      <c r="B105" s="287" t="s">
        <v>15</v>
      </c>
      <c r="C105" s="287" t="s">
        <v>461</v>
      </c>
      <c r="D105" s="288" t="s">
        <v>433</v>
      </c>
      <c r="E105" s="293">
        <f ca="1">IF(D105="","",(VLOOKUP($D105,master_food_list,'Master Food List'!N$91,FALSE)))</f>
        <v>280</v>
      </c>
      <c r="F105" s="293">
        <f ca="1">IF(E105="","",(VLOOKUP($D105,master_food_list,'Master Food List'!O$91,FALSE)))</f>
        <v>34</v>
      </c>
      <c r="G105" s="293">
        <f ca="1">IF(F105="","",(VLOOKUP($D105,master_food_list,'Master Food List'!P$91,FALSE)))</f>
        <v>2</v>
      </c>
      <c r="H105" s="293">
        <f ca="1">IF(G105="","",(VLOOKUP($D105,master_food_list,'Master Food List'!Q$91,FALSE)))</f>
        <v>17</v>
      </c>
      <c r="I105" s="293">
        <f ca="1">IF(H105="","",(VLOOKUP($D105,master_food_list,'Master Food List'!R$91,FALSE)))</f>
        <v>0</v>
      </c>
      <c r="J105" s="293">
        <f ca="1">IF(I105="","",(VLOOKUP($D105,master_food_list,'Master Food List'!S$91,FALSE)))</f>
        <v>0</v>
      </c>
      <c r="K105" s="293">
        <f ca="1">IF(J105="","",(VLOOKUP($D105,master_food_list,'Master Food List'!T$91,FALSE)))</f>
        <v>140</v>
      </c>
    </row>
    <row r="106" spans="1:11" customFormat="1" ht="51" x14ac:dyDescent="0.2">
      <c r="A106" s="286">
        <v>14</v>
      </c>
      <c r="B106" s="287" t="s">
        <v>15</v>
      </c>
      <c r="C106" s="287" t="s">
        <v>460</v>
      </c>
      <c r="D106" s="288" t="s">
        <v>430</v>
      </c>
      <c r="E106" s="293">
        <f ca="1">IF(D106="","",(VLOOKUP($D106,master_food_list,'Master Food List'!N$91,FALSE)))</f>
        <v>510</v>
      </c>
      <c r="F106" s="293">
        <f ca="1">IF(E106="","",(VLOOKUP($D106,master_food_list,'Master Food List'!O$91,FALSE)))</f>
        <v>42</v>
      </c>
      <c r="G106" s="293">
        <f ca="1">IF(F106="","",(VLOOKUP($D106,master_food_list,'Master Food List'!P$91,FALSE)))</f>
        <v>10.5</v>
      </c>
      <c r="H106" s="293">
        <f ca="1">IF(G106="","",(VLOOKUP($D106,master_food_list,'Master Food List'!Q$91,FALSE)))</f>
        <v>33</v>
      </c>
      <c r="I106" s="293">
        <f ca="1">IF(H106="","",(VLOOKUP($D106,master_food_list,'Master Food List'!R$91,FALSE)))</f>
        <v>75</v>
      </c>
      <c r="J106" s="293">
        <f ca="1">IF(I106="","",(VLOOKUP($D106,master_food_list,'Master Food List'!S$91,FALSE)))</f>
        <v>0</v>
      </c>
      <c r="K106" s="293">
        <f ca="1">IF(J106="","",(VLOOKUP($D106,master_food_list,'Master Food List'!T$91,FALSE)))</f>
        <v>170</v>
      </c>
    </row>
    <row r="107" spans="1:11" customFormat="1" ht="34" x14ac:dyDescent="0.2">
      <c r="A107" s="286">
        <v>14</v>
      </c>
      <c r="B107" s="287" t="s">
        <v>15</v>
      </c>
      <c r="C107" s="287" t="s">
        <v>459</v>
      </c>
      <c r="D107" s="288" t="s">
        <v>427</v>
      </c>
      <c r="E107" s="293">
        <f ca="1">IF(D107="","",(VLOOKUP($D107,master_food_list,'Master Food List'!N$91,FALSE)))</f>
        <v>300</v>
      </c>
      <c r="F107" s="293">
        <f ca="1">IF(E107="","",(VLOOKUP($D107,master_food_list,'Master Food List'!O$91,FALSE)))</f>
        <v>24</v>
      </c>
      <c r="G107" s="293">
        <f ca="1">IF(F107="","",(VLOOKUP($D107,master_food_list,'Master Food List'!P$91,FALSE)))</f>
        <v>8</v>
      </c>
      <c r="H107" s="293">
        <f ca="1">IF(G107="","",(VLOOKUP($D107,master_food_list,'Master Food List'!Q$91,FALSE)))</f>
        <v>20</v>
      </c>
      <c r="I107" s="293">
        <f ca="1">IF(H107="","",(VLOOKUP($D107,master_food_list,'Master Food List'!R$91,FALSE)))</f>
        <v>120</v>
      </c>
      <c r="J107" s="293">
        <f ca="1">IF(I107="","",(VLOOKUP($D107,master_food_list,'Master Food List'!S$91,FALSE)))</f>
        <v>0</v>
      </c>
      <c r="K107" s="293">
        <f ca="1">IF(J107="","",(VLOOKUP($D107,master_food_list,'Master Food List'!T$91,FALSE)))</f>
        <v>150</v>
      </c>
    </row>
    <row r="108" spans="1:11" customFormat="1" ht="34" x14ac:dyDescent="0.2">
      <c r="A108" s="286">
        <v>14</v>
      </c>
      <c r="B108" s="287" t="s">
        <v>15</v>
      </c>
      <c r="C108" s="287" t="s">
        <v>458</v>
      </c>
      <c r="D108" s="288" t="s">
        <v>442</v>
      </c>
      <c r="E108" s="293">
        <f ca="1">IF(D108="","",(VLOOKUP($D108,master_food_list,'Master Food List'!N$91,FALSE)))</f>
        <v>600</v>
      </c>
      <c r="F108" s="293">
        <f ca="1">IF(E108="","",(VLOOKUP($D108,master_food_list,'Master Food List'!O$91,FALSE)))</f>
        <v>160</v>
      </c>
      <c r="G108" s="293">
        <f ca="1">IF(F108="","",(VLOOKUP($D108,master_food_list,'Master Food List'!P$91,FALSE)))</f>
        <v>22</v>
      </c>
      <c r="H108" s="293">
        <f ca="1">IF(G108="","",(VLOOKUP($D108,master_food_list,'Master Food List'!Q$91,FALSE)))</f>
        <v>3</v>
      </c>
      <c r="I108" s="293">
        <f ca="1">IF(H108="","",(VLOOKUP($D108,master_food_list,'Master Food List'!R$91,FALSE)))</f>
        <v>960</v>
      </c>
      <c r="J108" s="293">
        <f ca="1">IF(I108="","",(VLOOKUP($D108,master_food_list,'Master Food List'!S$91,FALSE)))</f>
        <v>0</v>
      </c>
      <c r="K108" s="293">
        <f ca="1">IF(J108="","",(VLOOKUP($D108,master_food_list,'Master Food List'!T$91,FALSE)))</f>
        <v>104.34782608695652</v>
      </c>
    </row>
    <row r="109" spans="1:11" customFormat="1" ht="34" x14ac:dyDescent="0.2">
      <c r="A109" s="286">
        <v>14</v>
      </c>
      <c r="B109" s="287" t="s">
        <v>15</v>
      </c>
      <c r="C109" s="287" t="s">
        <v>457</v>
      </c>
      <c r="D109" s="288" t="s">
        <v>479</v>
      </c>
      <c r="E109" s="293">
        <f ca="1">IF(D109="","",(VLOOKUP($D109,master_food_list,'Master Food List'!N$91,FALSE)))</f>
        <v>300</v>
      </c>
      <c r="F109" s="293">
        <f ca="1">IF(E109="","",(VLOOKUP($D109,master_food_list,'Master Food List'!O$91,FALSE)))</f>
        <v>10.5</v>
      </c>
      <c r="G109" s="293">
        <f ca="1">IF(F109="","",(VLOOKUP($D109,master_food_list,'Master Food List'!P$91,FALSE)))</f>
        <v>10.5</v>
      </c>
      <c r="H109" s="293">
        <f ca="1">IF(G109="","",(VLOOKUP($D109,master_food_list,'Master Food List'!Q$91,FALSE)))</f>
        <v>25.5</v>
      </c>
      <c r="I109" s="293">
        <f ca="1">IF(H109="","",(VLOOKUP($D109,master_food_list,'Master Food List'!R$91,FALSE)))</f>
        <v>150</v>
      </c>
      <c r="J109" s="293">
        <f ca="1">IF(I109="","",(VLOOKUP($D109,master_food_list,'Master Food List'!S$91,FALSE)))</f>
        <v>0</v>
      </c>
      <c r="K109" s="293">
        <f ca="1">IF(J109="","",(VLOOKUP($D109,master_food_list,'Master Food List'!T$91,FALSE)))</f>
        <v>177.77777777777777</v>
      </c>
    </row>
    <row r="110" spans="1:11" customFormat="1" ht="34" x14ac:dyDescent="0.2">
      <c r="A110" s="286">
        <v>14</v>
      </c>
      <c r="B110" s="287" t="s">
        <v>15</v>
      </c>
      <c r="C110" s="287" t="s">
        <v>455</v>
      </c>
      <c r="D110" s="288" t="s">
        <v>482</v>
      </c>
      <c r="E110" s="293">
        <f ca="1">IF(D110="","",(VLOOKUP($D110,master_food_list,'Master Food List'!N$91,FALSE)))</f>
        <v>110</v>
      </c>
      <c r="F110" s="293">
        <f ca="1">IF(E110="","",(VLOOKUP($D110,master_food_list,'Master Food List'!O$91,FALSE)))</f>
        <v>21</v>
      </c>
      <c r="G110" s="293">
        <f ca="1">IF(F110="","",(VLOOKUP($D110,master_food_list,'Master Food List'!P$91,FALSE)))</f>
        <v>1</v>
      </c>
      <c r="H110" s="293">
        <f ca="1">IF(G110="","",(VLOOKUP($D110,master_food_list,'Master Food List'!Q$91,FALSE)))</f>
        <v>2</v>
      </c>
      <c r="I110" s="293">
        <f ca="1">IF(H110="","",(VLOOKUP($D110,master_food_list,'Master Food List'!R$91,FALSE)))</f>
        <v>150</v>
      </c>
      <c r="J110" s="293">
        <f ca="1">IF(I110="","",(VLOOKUP($D110,master_food_list,'Master Food List'!S$91,FALSE)))</f>
        <v>0</v>
      </c>
      <c r="K110" s="293">
        <f ca="1">IF(J110="","",(VLOOKUP($D110,master_food_list,'Master Food List'!T$91,FALSE)))</f>
        <v>118.27956989247312</v>
      </c>
    </row>
    <row r="111" spans="1:11" ht="34" x14ac:dyDescent="0.2">
      <c r="A111" s="296"/>
      <c r="B111" s="297" t="s">
        <v>708</v>
      </c>
      <c r="C111" s="297">
        <f>A112-A83</f>
        <v>4</v>
      </c>
      <c r="D111" s="298"/>
      <c r="E111" s="299"/>
      <c r="F111" s="299"/>
      <c r="G111" s="299"/>
      <c r="H111" s="299"/>
      <c r="I111" s="299"/>
      <c r="J111" s="299"/>
      <c r="K111" s="299"/>
    </row>
    <row r="112" spans="1:11" s="190" customFormat="1" ht="51" x14ac:dyDescent="0.2">
      <c r="A112" s="278">
        <v>15</v>
      </c>
      <c r="B112" s="279" t="s">
        <v>210</v>
      </c>
      <c r="C112" s="279" t="s">
        <v>462</v>
      </c>
      <c r="D112" s="280" t="s">
        <v>498</v>
      </c>
      <c r="E112" s="291">
        <f ca="1">IF(D112="","",(VLOOKUP($D112,master_food_list,'Master Food List'!N$91,FALSE)))</f>
        <v>1020</v>
      </c>
      <c r="F112" s="291">
        <f ca="1">IF(E112="","",(VLOOKUP($D112,master_food_list,'Master Food List'!O$91,FALSE)))</f>
        <v>96</v>
      </c>
      <c r="G112" s="291">
        <f ca="1">IF(F112="","",(VLOOKUP($D112,master_food_list,'Master Food List'!P$91,FALSE)))</f>
        <v>34</v>
      </c>
      <c r="H112" s="291">
        <f ca="1">IF(G112="","",(VLOOKUP($D112,master_food_list,'Master Food List'!Q$91,FALSE)))</f>
        <v>53</v>
      </c>
      <c r="I112" s="291">
        <f ca="1">IF(H112="","",(VLOOKUP($D112,master_food_list,'Master Food List'!R$91,FALSE)))</f>
        <v>2460</v>
      </c>
      <c r="J112" s="291">
        <f ca="1">IF(I112="","",(VLOOKUP($D112,master_food_list,'Master Food List'!S$91,FALSE)))</f>
        <v>0</v>
      </c>
      <c r="K112" s="291">
        <f ca="1">IF(J112="","",(VLOOKUP($D112,master_food_list,'Master Food List'!T$91,FALSE)))</f>
        <v>0</v>
      </c>
    </row>
    <row r="113" spans="1:11" s="190" customFormat="1" ht="51" x14ac:dyDescent="0.2">
      <c r="A113" s="278">
        <v>15</v>
      </c>
      <c r="B113" s="279" t="s">
        <v>210</v>
      </c>
      <c r="C113" s="279" t="s">
        <v>461</v>
      </c>
      <c r="D113" s="280" t="s">
        <v>481</v>
      </c>
      <c r="E113" s="291">
        <f ca="1">IF(D113="","",(VLOOKUP($D113,master_food_list,'Master Food List'!N$91,FALSE)))</f>
        <v>400</v>
      </c>
      <c r="F113" s="291">
        <f ca="1">IF(E113="","",(VLOOKUP($D113,master_food_list,'Master Food List'!O$91,FALSE)))</f>
        <v>72</v>
      </c>
      <c r="G113" s="291">
        <f ca="1">IF(F113="","",(VLOOKUP($D113,master_food_list,'Master Food List'!P$91,FALSE)))</f>
        <v>6</v>
      </c>
      <c r="H113" s="291">
        <f ca="1">IF(G113="","",(VLOOKUP($D113,master_food_list,'Master Food List'!Q$91,FALSE)))</f>
        <v>10</v>
      </c>
      <c r="I113" s="291">
        <f ca="1">IF(H113="","",(VLOOKUP($D113,master_food_list,'Master Food List'!R$91,FALSE)))</f>
        <v>420</v>
      </c>
      <c r="J113" s="291">
        <f ca="1">IF(I113="","",(VLOOKUP($D113,master_food_list,'Master Food List'!S$91,FALSE)))</f>
        <v>0</v>
      </c>
      <c r="K113" s="291">
        <f ca="1">IF(J113="","",(VLOOKUP($D113,master_food_list,'Master Food List'!T$91,FALSE)))</f>
        <v>109.09090909090909</v>
      </c>
    </row>
    <row r="114" spans="1:11" s="190" customFormat="1" ht="51" x14ac:dyDescent="0.2">
      <c r="A114" s="278">
        <v>15</v>
      </c>
      <c r="B114" s="279" t="s">
        <v>210</v>
      </c>
      <c r="C114" s="279" t="s">
        <v>460</v>
      </c>
      <c r="D114" s="280" t="s">
        <v>495</v>
      </c>
      <c r="E114" s="291">
        <f ca="1">IF(D114="","",(VLOOKUP($D114,master_food_list,'Master Food List'!N$91,FALSE)))</f>
        <v>122</v>
      </c>
      <c r="F114" s="291">
        <f ca="1">IF(E114="","",(VLOOKUP($D114,master_food_list,'Master Food List'!O$91,FALSE)))</f>
        <v>18</v>
      </c>
      <c r="G114" s="291">
        <f ca="1">IF(F114="","",(VLOOKUP($D114,master_food_list,'Master Food List'!P$91,FALSE)))</f>
        <v>9</v>
      </c>
      <c r="H114" s="291">
        <f ca="1">IF(G114="","",(VLOOKUP($D114,master_food_list,'Master Food List'!Q$91,FALSE)))</f>
        <v>7.5</v>
      </c>
      <c r="I114" s="291">
        <f ca="1">IF(H114="","",(VLOOKUP($D114,master_food_list,'Master Food List'!R$91,FALSE)))</f>
        <v>105</v>
      </c>
      <c r="J114" s="291">
        <f ca="1">IF(I114="","",(VLOOKUP($D114,master_food_list,'Master Food List'!S$91,FALSE)))</f>
        <v>0</v>
      </c>
      <c r="K114" s="291">
        <f ca="1">IF(J114="","",(VLOOKUP($D114,master_food_list,'Master Food List'!T$91,FALSE)))</f>
        <v>0</v>
      </c>
    </row>
    <row r="115" spans="1:11" s="190" customFormat="1" ht="51" x14ac:dyDescent="0.2">
      <c r="A115" s="278">
        <v>15</v>
      </c>
      <c r="B115" s="279" t="s">
        <v>210</v>
      </c>
      <c r="C115" s="279" t="s">
        <v>459</v>
      </c>
      <c r="D115" s="280" t="s">
        <v>347</v>
      </c>
      <c r="E115" s="291">
        <f ca="1">IF(D115="","",(VLOOKUP($D115,master_food_list,'Master Food List'!N$91,FALSE)))</f>
        <v>665</v>
      </c>
      <c r="F115" s="291">
        <f ca="1">IF(E115="","",(VLOOKUP($D115,master_food_list,'Master Food List'!O$91,FALSE)))</f>
        <v>0</v>
      </c>
      <c r="G115" s="291">
        <f ca="1">IF(F115="","",(VLOOKUP($D115,master_food_list,'Master Food List'!P$91,FALSE)))</f>
        <v>35</v>
      </c>
      <c r="H115" s="291">
        <f ca="1">IF(G115="","",(VLOOKUP($D115,master_food_list,'Master Food List'!Q$91,FALSE)))</f>
        <v>56</v>
      </c>
      <c r="I115" s="291">
        <f ca="1">IF(H115="","",(VLOOKUP($D115,master_food_list,'Master Food List'!R$91,FALSE)))</f>
        <v>2415</v>
      </c>
      <c r="J115" s="291">
        <f ca="1">IF(I115="","",(VLOOKUP($D115,master_food_list,'Master Food List'!S$91,FALSE)))</f>
        <v>0</v>
      </c>
      <c r="K115" s="291">
        <f ca="1">IF(J115="","",(VLOOKUP($D115,master_food_list,'Master Food List'!T$91,FALSE)))</f>
        <v>180.70652173913044</v>
      </c>
    </row>
    <row r="116" spans="1:11" s="190" customFormat="1" ht="51" x14ac:dyDescent="0.2">
      <c r="A116" s="278">
        <v>15</v>
      </c>
      <c r="B116" s="279" t="s">
        <v>210</v>
      </c>
      <c r="C116" s="279" t="s">
        <v>458</v>
      </c>
      <c r="D116" s="280" t="s">
        <v>294</v>
      </c>
      <c r="E116" s="291">
        <f ca="1">IF(D116="","",(VLOOKUP($D116,master_food_list,'Master Food List'!N$91,FALSE)))</f>
        <v>960</v>
      </c>
      <c r="F116" s="291">
        <f ca="1">IF(E116="","",(VLOOKUP($D116,master_food_list,'Master Food List'!O$91,FALSE)))</f>
        <v>93</v>
      </c>
      <c r="G116" s="291">
        <f ca="1">IF(F116="","",(VLOOKUP($D116,master_food_list,'Master Food List'!P$91,FALSE)))</f>
        <v>39</v>
      </c>
      <c r="H116" s="291">
        <f ca="1">IF(G116="","",(VLOOKUP($D116,master_food_list,'Master Food List'!Q$91,FALSE)))</f>
        <v>45</v>
      </c>
      <c r="I116" s="291">
        <f ca="1">IF(H116="","",(VLOOKUP($D116,master_food_list,'Master Food List'!R$91,FALSE)))</f>
        <v>2040</v>
      </c>
      <c r="J116" s="291">
        <f ca="1">IF(I116="","",(VLOOKUP($D116,master_food_list,'Master Food List'!S$91,FALSE)))</f>
        <v>0</v>
      </c>
      <c r="K116" s="291">
        <f ca="1">IF(J116="","",(VLOOKUP($D116,master_food_list,'Master Food List'!T$91,FALSE)))</f>
        <v>141.03819784524975</v>
      </c>
    </row>
    <row r="117" spans="1:11" s="190" customFormat="1" ht="51" x14ac:dyDescent="0.2">
      <c r="A117" s="278">
        <v>15</v>
      </c>
      <c r="B117" s="279" t="s">
        <v>210</v>
      </c>
      <c r="C117" s="279" t="s">
        <v>457</v>
      </c>
      <c r="D117" s="280"/>
      <c r="E117" s="291" t="str">
        <f>IF(D117="","",(VLOOKUP($D117,master_food_list,'Master Food List'!N$91,FALSE)))</f>
        <v/>
      </c>
      <c r="F117" s="291" t="str">
        <f>IF(E117="","",(VLOOKUP($D117,master_food_list,'Master Food List'!O$91,FALSE)))</f>
        <v/>
      </c>
      <c r="G117" s="291" t="str">
        <f>IF(F117="","",(VLOOKUP($D117,master_food_list,'Master Food List'!P$91,FALSE)))</f>
        <v/>
      </c>
      <c r="H117" s="291" t="str">
        <f>IF(G117="","",(VLOOKUP($D117,master_food_list,'Master Food List'!Q$91,FALSE)))</f>
        <v/>
      </c>
      <c r="I117" s="291" t="str">
        <f>IF(H117="","",(VLOOKUP($D117,master_food_list,'Master Food List'!R$91,FALSE)))</f>
        <v/>
      </c>
      <c r="J117" s="291" t="str">
        <f>IF(I117="","",(VLOOKUP($D117,master_food_list,'Master Food List'!S$91,FALSE)))</f>
        <v/>
      </c>
      <c r="K117" s="291" t="str">
        <f>IF(J117="","",(VLOOKUP($D117,master_food_list,'Master Food List'!T$91,FALSE)))</f>
        <v/>
      </c>
    </row>
    <row r="118" spans="1:11" s="190" customFormat="1" ht="51" x14ac:dyDescent="0.2">
      <c r="A118" s="278">
        <v>15</v>
      </c>
      <c r="B118" s="279" t="s">
        <v>210</v>
      </c>
      <c r="C118" s="279" t="s">
        <v>455</v>
      </c>
      <c r="D118" s="280" t="s">
        <v>482</v>
      </c>
      <c r="E118" s="291">
        <f ca="1">IF(D118="","",(VLOOKUP($D118,master_food_list,'Master Food List'!N$91,FALSE)))</f>
        <v>110</v>
      </c>
      <c r="F118" s="291">
        <f ca="1">IF(E118="","",(VLOOKUP($D118,master_food_list,'Master Food List'!O$91,FALSE)))</f>
        <v>21</v>
      </c>
      <c r="G118" s="291">
        <f ca="1">IF(F118="","",(VLOOKUP($D118,master_food_list,'Master Food List'!P$91,FALSE)))</f>
        <v>1</v>
      </c>
      <c r="H118" s="291">
        <f ca="1">IF(G118="","",(VLOOKUP($D118,master_food_list,'Master Food List'!Q$91,FALSE)))</f>
        <v>2</v>
      </c>
      <c r="I118" s="291">
        <f ca="1">IF(H118="","",(VLOOKUP($D118,master_food_list,'Master Food List'!R$91,FALSE)))</f>
        <v>150</v>
      </c>
      <c r="J118" s="291">
        <f ca="1">IF(I118="","",(VLOOKUP($D118,master_food_list,'Master Food List'!S$91,FALSE)))</f>
        <v>0</v>
      </c>
      <c r="K118" s="291">
        <f ca="1">IF(J118="","",(VLOOKUP($D118,master_food_list,'Master Food List'!T$91,FALSE)))</f>
        <v>118.27956989247312</v>
      </c>
    </row>
    <row r="119" spans="1:11" s="190" customFormat="1" ht="51" x14ac:dyDescent="0.2">
      <c r="A119" s="278">
        <v>16</v>
      </c>
      <c r="B119" s="279" t="s">
        <v>210</v>
      </c>
      <c r="C119" s="279" t="s">
        <v>462</v>
      </c>
      <c r="D119" s="280" t="s">
        <v>284</v>
      </c>
      <c r="E119" s="291">
        <f ca="1">IF(D119="","",(VLOOKUP($D119,master_food_list,'Master Food List'!N$91,FALSE)))</f>
        <v>380</v>
      </c>
      <c r="F119" s="291">
        <f ca="1">IF(E119="","",(VLOOKUP($D119,master_food_list,'Master Food List'!O$91,FALSE)))</f>
        <v>70</v>
      </c>
      <c r="G119" s="291">
        <f ca="1">IF(F119="","",(VLOOKUP($D119,master_food_list,'Master Food List'!P$91,FALSE)))</f>
        <v>4</v>
      </c>
      <c r="H119" s="291">
        <f ca="1">IF(G119="","",(VLOOKUP($D119,master_food_list,'Master Food List'!Q$91,FALSE)))</f>
        <v>10</v>
      </c>
      <c r="I119" s="291">
        <f ca="1">IF(H119="","",(VLOOKUP($D119,master_food_list,'Master Food List'!R$91,FALSE)))</f>
        <v>380</v>
      </c>
      <c r="J119" s="291">
        <f ca="1">IF(I119="","",(VLOOKUP($D119,master_food_list,'Master Food List'!S$91,FALSE)))</f>
        <v>0</v>
      </c>
      <c r="K119" s="291">
        <f ca="1">IF(J119="","",(VLOOKUP($D119,master_food_list,'Master Food List'!T$91,FALSE)))</f>
        <v>107.80141843971631</v>
      </c>
    </row>
    <row r="120" spans="1:11" s="190" customFormat="1" ht="51" x14ac:dyDescent="0.2">
      <c r="A120" s="278">
        <v>16</v>
      </c>
      <c r="B120" s="279" t="s">
        <v>210</v>
      </c>
      <c r="C120" s="279" t="s">
        <v>461</v>
      </c>
      <c r="D120" s="280" t="s">
        <v>284</v>
      </c>
      <c r="E120" s="291">
        <f ca="1">IF(D120="","",(VLOOKUP($D120,master_food_list,'Master Food List'!N$91,FALSE)))</f>
        <v>380</v>
      </c>
      <c r="F120" s="291">
        <f ca="1">IF(E120="","",(VLOOKUP($D120,master_food_list,'Master Food List'!O$91,FALSE)))</f>
        <v>70</v>
      </c>
      <c r="G120" s="291">
        <f ca="1">IF(F120="","",(VLOOKUP($D120,master_food_list,'Master Food List'!P$91,FALSE)))</f>
        <v>4</v>
      </c>
      <c r="H120" s="291">
        <f ca="1">IF(G120="","",(VLOOKUP($D120,master_food_list,'Master Food List'!Q$91,FALSE)))</f>
        <v>10</v>
      </c>
      <c r="I120" s="291">
        <f ca="1">IF(H120="","",(VLOOKUP($D120,master_food_list,'Master Food List'!R$91,FALSE)))</f>
        <v>380</v>
      </c>
      <c r="J120" s="291">
        <f ca="1">IF(I120="","",(VLOOKUP($D120,master_food_list,'Master Food List'!S$91,FALSE)))</f>
        <v>0</v>
      </c>
      <c r="K120" s="291">
        <f ca="1">IF(J120="","",(VLOOKUP($D120,master_food_list,'Master Food List'!T$91,FALSE)))</f>
        <v>107.80141843971631</v>
      </c>
    </row>
    <row r="121" spans="1:11" s="190" customFormat="1" ht="51" x14ac:dyDescent="0.2">
      <c r="A121" s="278">
        <v>16</v>
      </c>
      <c r="B121" s="279" t="s">
        <v>210</v>
      </c>
      <c r="C121" s="279" t="s">
        <v>460</v>
      </c>
      <c r="D121" s="280" t="s">
        <v>495</v>
      </c>
      <c r="E121" s="291">
        <f ca="1">IF(D121="","",(VLOOKUP($D121,master_food_list,'Master Food List'!N$91,FALSE)))</f>
        <v>122</v>
      </c>
      <c r="F121" s="291">
        <f ca="1">IF(E121="","",(VLOOKUP($D121,master_food_list,'Master Food List'!O$91,FALSE)))</f>
        <v>18</v>
      </c>
      <c r="G121" s="291">
        <f ca="1">IF(F121="","",(VLOOKUP($D121,master_food_list,'Master Food List'!P$91,FALSE)))</f>
        <v>9</v>
      </c>
      <c r="H121" s="291">
        <f ca="1">IF(G121="","",(VLOOKUP($D121,master_food_list,'Master Food List'!Q$91,FALSE)))</f>
        <v>7.5</v>
      </c>
      <c r="I121" s="291">
        <f ca="1">IF(H121="","",(VLOOKUP($D121,master_food_list,'Master Food List'!R$91,FALSE)))</f>
        <v>105</v>
      </c>
      <c r="J121" s="291">
        <f ca="1">IF(I121="","",(VLOOKUP($D121,master_food_list,'Master Food List'!S$91,FALSE)))</f>
        <v>0</v>
      </c>
      <c r="K121" s="291">
        <f ca="1">IF(J121="","",(VLOOKUP($D121,master_food_list,'Master Food List'!T$91,FALSE)))</f>
        <v>0</v>
      </c>
    </row>
    <row r="122" spans="1:11" s="190" customFormat="1" ht="51" x14ac:dyDescent="0.2">
      <c r="A122" s="278">
        <v>16</v>
      </c>
      <c r="B122" s="279" t="s">
        <v>210</v>
      </c>
      <c r="C122" s="279" t="s">
        <v>459</v>
      </c>
      <c r="D122" s="280" t="s">
        <v>333</v>
      </c>
      <c r="E122" s="291">
        <f ca="1">IF(D122="","",(VLOOKUP($D122,master_food_list,'Master Food List'!N$91,FALSE)))</f>
        <v>325</v>
      </c>
      <c r="F122" s="291">
        <f ca="1">IF(E122="","",(VLOOKUP($D122,master_food_list,'Master Food List'!O$91,FALSE)))</f>
        <v>40</v>
      </c>
      <c r="G122" s="291">
        <f ca="1">IF(F122="","",(VLOOKUP($D122,master_food_list,'Master Food List'!P$91,FALSE)))</f>
        <v>2.5</v>
      </c>
      <c r="H122" s="291">
        <f ca="1">IF(G122="","",(VLOOKUP($D122,master_food_list,'Master Food List'!Q$91,FALSE)))</f>
        <v>17.5</v>
      </c>
      <c r="I122" s="291">
        <f ca="1">IF(H122="","",(VLOOKUP($D122,master_food_list,'Master Food List'!R$91,FALSE)))</f>
        <v>25</v>
      </c>
      <c r="J122" s="291">
        <f ca="1">IF(I122="","",(VLOOKUP($D122,master_food_list,'Master Food List'!S$91,FALSE)))</f>
        <v>0</v>
      </c>
      <c r="K122" s="291">
        <f ca="1">IF(J122="","",(VLOOKUP($D122,master_food_list,'Master Food List'!T$91,FALSE)))</f>
        <v>156.25</v>
      </c>
    </row>
    <row r="123" spans="1:11" s="190" customFormat="1" ht="51" x14ac:dyDescent="0.2">
      <c r="A123" s="278">
        <v>16</v>
      </c>
      <c r="B123" s="279" t="s">
        <v>210</v>
      </c>
      <c r="C123" s="279" t="s">
        <v>458</v>
      </c>
      <c r="D123" s="280" t="s">
        <v>493</v>
      </c>
      <c r="E123" s="291">
        <f ca="1">IF(D123="","",(VLOOKUP($D123,master_food_list,'Master Food List'!N$91,FALSE)))</f>
        <v>1000</v>
      </c>
      <c r="F123" s="291">
        <f ca="1">IF(E123="","",(VLOOKUP($D123,master_food_list,'Master Food List'!O$91,FALSE)))</f>
        <v>112</v>
      </c>
      <c r="G123" s="291">
        <f ca="1">IF(F123="","",(VLOOKUP($D123,master_food_list,'Master Food List'!P$91,FALSE)))</f>
        <v>40</v>
      </c>
      <c r="H123" s="291">
        <f ca="1">IF(G123="","",(VLOOKUP($D123,master_food_list,'Master Food List'!Q$91,FALSE)))</f>
        <v>52</v>
      </c>
      <c r="I123" s="291">
        <f ca="1">IF(H123="","",(VLOOKUP($D123,master_food_list,'Master Food List'!R$91,FALSE)))</f>
        <v>460</v>
      </c>
      <c r="J123" s="291">
        <f ca="1">IF(I123="","",(VLOOKUP($D123,master_food_list,'Master Food List'!S$91,FALSE)))</f>
        <v>0</v>
      </c>
      <c r="K123" s="291">
        <f ca="1">IF(J123="","",(VLOOKUP($D123,master_food_list,'Master Food List'!T$91,FALSE)))</f>
        <v>123.4567901234568</v>
      </c>
    </row>
    <row r="124" spans="1:11" s="190" customFormat="1" ht="51" x14ac:dyDescent="0.2">
      <c r="A124" s="278">
        <v>16</v>
      </c>
      <c r="B124" s="279" t="s">
        <v>210</v>
      </c>
      <c r="C124" s="279" t="s">
        <v>457</v>
      </c>
      <c r="D124" s="280"/>
      <c r="E124" s="291" t="str">
        <f>IF(D124="","",(VLOOKUP($D124,master_food_list,'Master Food List'!N$91,FALSE)))</f>
        <v/>
      </c>
      <c r="F124" s="291" t="str">
        <f>IF(E124="","",(VLOOKUP($D124,master_food_list,'Master Food List'!O$91,FALSE)))</f>
        <v/>
      </c>
      <c r="G124" s="291" t="str">
        <f>IF(F124="","",(VLOOKUP($D124,master_food_list,'Master Food List'!P$91,FALSE)))</f>
        <v/>
      </c>
      <c r="H124" s="291" t="str">
        <f>IF(G124="","",(VLOOKUP($D124,master_food_list,'Master Food List'!Q$91,FALSE)))</f>
        <v/>
      </c>
      <c r="I124" s="291" t="str">
        <f>IF(H124="","",(VLOOKUP($D124,master_food_list,'Master Food List'!R$91,FALSE)))</f>
        <v/>
      </c>
      <c r="J124" s="291" t="str">
        <f>IF(I124="","",(VLOOKUP($D124,master_food_list,'Master Food List'!S$91,FALSE)))</f>
        <v/>
      </c>
      <c r="K124" s="291" t="str">
        <f>IF(J124="","",(VLOOKUP($D124,master_food_list,'Master Food List'!T$91,FALSE)))</f>
        <v/>
      </c>
    </row>
    <row r="125" spans="1:11" s="190" customFormat="1" ht="51" x14ac:dyDescent="0.2">
      <c r="A125" s="278">
        <v>16</v>
      </c>
      <c r="B125" s="279" t="s">
        <v>210</v>
      </c>
      <c r="C125" s="279" t="s">
        <v>455</v>
      </c>
      <c r="D125" s="280" t="s">
        <v>484</v>
      </c>
      <c r="E125" s="291">
        <f ca="1">IF(D125="","",(VLOOKUP($D125,master_food_list,'Master Food List'!N$91,FALSE)))</f>
        <v>540</v>
      </c>
      <c r="F125" s="291">
        <f ca="1">IF(E125="","",(VLOOKUP($D125,master_food_list,'Master Food List'!O$91,FALSE)))</f>
        <v>72</v>
      </c>
      <c r="G125" s="291">
        <f ca="1">IF(F125="","",(VLOOKUP($D125,master_food_list,'Master Food List'!P$91,FALSE)))</f>
        <v>14</v>
      </c>
      <c r="H125" s="291">
        <f ca="1">IF(G125="","",(VLOOKUP($D125,master_food_list,'Master Food List'!Q$91,FALSE)))</f>
        <v>22</v>
      </c>
      <c r="I125" s="291">
        <f ca="1">IF(H125="","",(VLOOKUP($D125,master_food_list,'Master Food List'!R$91,FALSE)))</f>
        <v>780</v>
      </c>
      <c r="J125" s="291">
        <f ca="1">IF(I125="","",(VLOOKUP($D125,master_food_list,'Master Food List'!S$91,FALSE)))</f>
        <v>0</v>
      </c>
      <c r="K125" s="291">
        <f ca="1">IF(J125="","",(VLOOKUP($D125,master_food_list,'Master Food List'!T$91,FALSE)))</f>
        <v>117.39130434782609</v>
      </c>
    </row>
    <row r="126" spans="1:11" s="189" customFormat="1" ht="51" x14ac:dyDescent="0.2">
      <c r="A126" s="282">
        <v>17</v>
      </c>
      <c r="B126" s="283" t="s">
        <v>210</v>
      </c>
      <c r="C126" s="283" t="s">
        <v>462</v>
      </c>
      <c r="D126" s="284" t="s">
        <v>480</v>
      </c>
      <c r="E126" s="292">
        <f ca="1">IF(D126="","",(VLOOKUP($D126,master_food_list,'Master Food List'!N$91,FALSE)))</f>
        <v>620</v>
      </c>
      <c r="F126" s="292">
        <f ca="1">IF(E126="","",(VLOOKUP($D126,master_food_list,'Master Food List'!O$91,FALSE)))</f>
        <v>74</v>
      </c>
      <c r="G126" s="292">
        <f ca="1">IF(F126="","",(VLOOKUP($D126,master_food_list,'Master Food List'!P$91,FALSE)))</f>
        <v>16</v>
      </c>
      <c r="H126" s="292">
        <f ca="1">IF(G126="","",(VLOOKUP($D126,master_food_list,'Master Food List'!Q$91,FALSE)))</f>
        <v>31</v>
      </c>
      <c r="I126" s="292">
        <f ca="1">IF(H126="","",(VLOOKUP($D126,master_food_list,'Master Food List'!R$91,FALSE)))</f>
        <v>280</v>
      </c>
      <c r="J126" s="292">
        <f ca="1">IF(I126="","",(VLOOKUP($D126,master_food_list,'Master Food List'!S$91,FALSE)))</f>
        <v>0</v>
      </c>
      <c r="K126" s="292">
        <f ca="1">IF(J126="","",(VLOOKUP($D126,master_food_list,'Master Food List'!T$91,FALSE)))</f>
        <v>130.52631578947367</v>
      </c>
    </row>
    <row r="127" spans="1:11" s="189" customFormat="1" ht="51" x14ac:dyDescent="0.2">
      <c r="A127" s="282">
        <v>17</v>
      </c>
      <c r="B127" s="283" t="s">
        <v>210</v>
      </c>
      <c r="C127" s="283" t="s">
        <v>461</v>
      </c>
      <c r="D127" s="284" t="s">
        <v>347</v>
      </c>
      <c r="E127" s="292">
        <f ca="1">IF(D127="","",(VLOOKUP($D127,master_food_list,'Master Food List'!N$91,FALSE)))</f>
        <v>665</v>
      </c>
      <c r="F127" s="292">
        <f ca="1">IF(E127="","",(VLOOKUP($D127,master_food_list,'Master Food List'!O$91,FALSE)))</f>
        <v>0</v>
      </c>
      <c r="G127" s="292">
        <f ca="1">IF(F127="","",(VLOOKUP($D127,master_food_list,'Master Food List'!P$91,FALSE)))</f>
        <v>35</v>
      </c>
      <c r="H127" s="292">
        <f ca="1">IF(G127="","",(VLOOKUP($D127,master_food_list,'Master Food List'!Q$91,FALSE)))</f>
        <v>56</v>
      </c>
      <c r="I127" s="292">
        <f ca="1">IF(H127="","",(VLOOKUP($D127,master_food_list,'Master Food List'!R$91,FALSE)))</f>
        <v>2415</v>
      </c>
      <c r="J127" s="292">
        <f ca="1">IF(I127="","",(VLOOKUP($D127,master_food_list,'Master Food List'!S$91,FALSE)))</f>
        <v>0</v>
      </c>
      <c r="K127" s="292">
        <f ca="1">IF(J127="","",(VLOOKUP($D127,master_food_list,'Master Food List'!T$91,FALSE)))</f>
        <v>180.70652173913044</v>
      </c>
    </row>
    <row r="128" spans="1:11" s="189" customFormat="1" ht="51" x14ac:dyDescent="0.2">
      <c r="A128" s="282">
        <v>17</v>
      </c>
      <c r="B128" s="283" t="s">
        <v>210</v>
      </c>
      <c r="C128" s="283" t="s">
        <v>460</v>
      </c>
      <c r="D128" s="284"/>
      <c r="E128" s="292" t="str">
        <f>IF(D128="","",(VLOOKUP($D128,master_food_list,'Master Food List'!N$91,FALSE)))</f>
        <v/>
      </c>
      <c r="F128" s="292" t="str">
        <f>IF(E128="","",(VLOOKUP($D128,master_food_list,'Master Food List'!O$91,FALSE)))</f>
        <v/>
      </c>
      <c r="G128" s="292" t="str">
        <f>IF(F128="","",(VLOOKUP($D128,master_food_list,'Master Food List'!P$91,FALSE)))</f>
        <v/>
      </c>
      <c r="H128" s="292" t="str">
        <f>IF(G128="","",(VLOOKUP($D128,master_food_list,'Master Food List'!Q$91,FALSE)))</f>
        <v/>
      </c>
      <c r="I128" s="292" t="str">
        <f>IF(H128="","",(VLOOKUP($D128,master_food_list,'Master Food List'!R$91,FALSE)))</f>
        <v/>
      </c>
      <c r="J128" s="292" t="str">
        <f>IF(I128="","",(VLOOKUP($D128,master_food_list,'Master Food List'!S$91,FALSE)))</f>
        <v/>
      </c>
      <c r="K128" s="292" t="str">
        <f>IF(J128="","",(VLOOKUP($D128,master_food_list,'Master Food List'!T$91,FALSE)))</f>
        <v/>
      </c>
    </row>
    <row r="129" spans="1:11" s="189" customFormat="1" ht="51" x14ac:dyDescent="0.2">
      <c r="A129" s="282">
        <v>17</v>
      </c>
      <c r="B129" s="283" t="s">
        <v>210</v>
      </c>
      <c r="C129" s="283" t="s">
        <v>459</v>
      </c>
      <c r="D129" s="284" t="s">
        <v>430</v>
      </c>
      <c r="E129" s="292">
        <f ca="1">IF(D129="","",(VLOOKUP($D129,master_food_list,'Master Food List'!N$91,FALSE)))</f>
        <v>510</v>
      </c>
      <c r="F129" s="292">
        <f ca="1">IF(E129="","",(VLOOKUP($D129,master_food_list,'Master Food List'!O$91,FALSE)))</f>
        <v>42</v>
      </c>
      <c r="G129" s="292">
        <f ca="1">IF(F129="","",(VLOOKUP($D129,master_food_list,'Master Food List'!P$91,FALSE)))</f>
        <v>10.5</v>
      </c>
      <c r="H129" s="292">
        <f ca="1">IF(G129="","",(VLOOKUP($D129,master_food_list,'Master Food List'!Q$91,FALSE)))</f>
        <v>33</v>
      </c>
      <c r="I129" s="292">
        <f ca="1">IF(H129="","",(VLOOKUP($D129,master_food_list,'Master Food List'!R$91,FALSE)))</f>
        <v>75</v>
      </c>
      <c r="J129" s="292">
        <f ca="1">IF(I129="","",(VLOOKUP($D129,master_food_list,'Master Food List'!S$91,FALSE)))</f>
        <v>0</v>
      </c>
      <c r="K129" s="292">
        <f ca="1">IF(J129="","",(VLOOKUP($D129,master_food_list,'Master Food List'!T$91,FALSE)))</f>
        <v>170</v>
      </c>
    </row>
    <row r="130" spans="1:11" s="189" customFormat="1" ht="51" x14ac:dyDescent="0.2">
      <c r="A130" s="282">
        <v>17</v>
      </c>
      <c r="B130" s="283" t="s">
        <v>210</v>
      </c>
      <c r="C130" s="283" t="s">
        <v>458</v>
      </c>
      <c r="D130" s="284" t="s">
        <v>486</v>
      </c>
      <c r="E130" s="292">
        <f ca="1">IF(D130="","",(VLOOKUP($D130,master_food_list,'Master Food List'!N$91,FALSE)))</f>
        <v>960</v>
      </c>
      <c r="F130" s="292">
        <f ca="1">IF(E130="","",(VLOOKUP($D130,master_food_list,'Master Food List'!O$91,FALSE)))</f>
        <v>178</v>
      </c>
      <c r="G130" s="292">
        <f ca="1">IF(F130="","",(VLOOKUP($D130,master_food_list,'Master Food List'!P$91,FALSE)))</f>
        <v>34</v>
      </c>
      <c r="H130" s="292">
        <f ca="1">IF(G130="","",(VLOOKUP($D130,master_food_list,'Master Food List'!Q$91,FALSE)))</f>
        <v>12</v>
      </c>
      <c r="I130" s="292">
        <f ca="1">IF(H130="","",(VLOOKUP($D130,master_food_list,'Master Food List'!R$91,FALSE)))</f>
        <v>1620</v>
      </c>
      <c r="J130" s="292">
        <f ca="1">IF(I130="","",(VLOOKUP($D130,master_food_list,'Master Food List'!S$91,FALSE)))</f>
        <v>0</v>
      </c>
      <c r="K130" s="292">
        <f ca="1">IF(J130="","",(VLOOKUP($D130,master_food_list,'Master Food List'!T$91,FALSE)))</f>
        <v>109.09090909090908</v>
      </c>
    </row>
    <row r="131" spans="1:11" s="189" customFormat="1" ht="51" x14ac:dyDescent="0.2">
      <c r="A131" s="282">
        <v>17</v>
      </c>
      <c r="B131" s="283" t="s">
        <v>210</v>
      </c>
      <c r="C131" s="283" t="s">
        <v>457</v>
      </c>
      <c r="D131" s="284" t="s">
        <v>479</v>
      </c>
      <c r="E131" s="292">
        <f ca="1">IF(D131="","",(VLOOKUP($D131,master_food_list,'Master Food List'!N$91,FALSE)))</f>
        <v>300</v>
      </c>
      <c r="F131" s="292">
        <f ca="1">IF(E131="","",(VLOOKUP($D131,master_food_list,'Master Food List'!O$91,FALSE)))</f>
        <v>10.5</v>
      </c>
      <c r="G131" s="292">
        <f ca="1">IF(F131="","",(VLOOKUP($D131,master_food_list,'Master Food List'!P$91,FALSE)))</f>
        <v>10.5</v>
      </c>
      <c r="H131" s="292">
        <f ca="1">IF(G131="","",(VLOOKUP($D131,master_food_list,'Master Food List'!Q$91,FALSE)))</f>
        <v>25.5</v>
      </c>
      <c r="I131" s="292">
        <f ca="1">IF(H131="","",(VLOOKUP($D131,master_food_list,'Master Food List'!R$91,FALSE)))</f>
        <v>150</v>
      </c>
      <c r="J131" s="292">
        <f ca="1">IF(I131="","",(VLOOKUP($D131,master_food_list,'Master Food List'!S$91,FALSE)))</f>
        <v>0</v>
      </c>
      <c r="K131" s="292">
        <f ca="1">IF(J131="","",(VLOOKUP($D131,master_food_list,'Master Food List'!T$91,FALSE)))</f>
        <v>177.77777777777777</v>
      </c>
    </row>
    <row r="132" spans="1:11" s="189" customFormat="1" ht="51" x14ac:dyDescent="0.2">
      <c r="A132" s="282">
        <v>17</v>
      </c>
      <c r="B132" s="283" t="s">
        <v>210</v>
      </c>
      <c r="C132" s="283" t="s">
        <v>455</v>
      </c>
      <c r="D132" s="284" t="s">
        <v>313</v>
      </c>
      <c r="E132" s="292">
        <f ca="1">IF(D132="","",(VLOOKUP($D132,master_food_list,'Master Food List'!N$91,FALSE)))</f>
        <v>170</v>
      </c>
      <c r="F132" s="292">
        <f ca="1">IF(E132="","",(VLOOKUP($D132,master_food_list,'Master Food List'!O$91,FALSE)))</f>
        <v>28</v>
      </c>
      <c r="G132" s="292">
        <f ca="1">IF(F132="","",(VLOOKUP($D132,master_food_list,'Master Food List'!P$91,FALSE)))</f>
        <v>2</v>
      </c>
      <c r="H132" s="292">
        <f ca="1">IF(G132="","",(VLOOKUP($D132,master_food_list,'Master Food List'!Q$91,FALSE)))</f>
        <v>6</v>
      </c>
      <c r="I132" s="292">
        <f ca="1">IF(H132="","",(VLOOKUP($D132,master_food_list,'Master Food List'!R$91,FALSE)))</f>
        <v>135</v>
      </c>
      <c r="J132" s="292">
        <f ca="1">IF(I132="","",(VLOOKUP($D132,master_food_list,'Master Food List'!S$91,FALSE)))</f>
        <v>0</v>
      </c>
      <c r="K132" s="292">
        <f ca="1">IF(J132="","",(VLOOKUP($D132,master_food_list,'Master Food List'!T$91,FALSE)))</f>
        <v>150.44247787610621</v>
      </c>
    </row>
    <row r="133" spans="1:11" customFormat="1" ht="51" x14ac:dyDescent="0.2">
      <c r="A133" s="286">
        <v>18</v>
      </c>
      <c r="B133" s="287" t="s">
        <v>210</v>
      </c>
      <c r="C133" s="287" t="s">
        <v>462</v>
      </c>
      <c r="D133" s="288" t="s">
        <v>480</v>
      </c>
      <c r="E133" s="293">
        <f ca="1">IF(D133="","",(VLOOKUP($D133,master_food_list,'Master Food List'!N$91,FALSE)))</f>
        <v>620</v>
      </c>
      <c r="F133" s="293">
        <f ca="1">IF(E133="","",(VLOOKUP($D133,master_food_list,'Master Food List'!O$91,FALSE)))</f>
        <v>74</v>
      </c>
      <c r="G133" s="293">
        <f ca="1">IF(F133="","",(VLOOKUP($D133,master_food_list,'Master Food List'!P$91,FALSE)))</f>
        <v>16</v>
      </c>
      <c r="H133" s="293">
        <f ca="1">IF(G133="","",(VLOOKUP($D133,master_food_list,'Master Food List'!Q$91,FALSE)))</f>
        <v>31</v>
      </c>
      <c r="I133" s="293">
        <f ca="1">IF(H133="","",(VLOOKUP($D133,master_food_list,'Master Food List'!R$91,FALSE)))</f>
        <v>280</v>
      </c>
      <c r="J133" s="293">
        <f ca="1">IF(I133="","",(VLOOKUP($D133,master_food_list,'Master Food List'!S$91,FALSE)))</f>
        <v>0</v>
      </c>
      <c r="K133" s="293">
        <f ca="1">IF(J133="","",(VLOOKUP($D133,master_food_list,'Master Food List'!T$91,FALSE)))</f>
        <v>130.52631578947367</v>
      </c>
    </row>
    <row r="134" spans="1:11" customFormat="1" ht="51" x14ac:dyDescent="0.2">
      <c r="A134" s="286">
        <v>18</v>
      </c>
      <c r="B134" s="287" t="s">
        <v>210</v>
      </c>
      <c r="C134" s="287" t="s">
        <v>461</v>
      </c>
      <c r="D134" s="288" t="s">
        <v>354</v>
      </c>
      <c r="E134" s="293">
        <f ca="1">IF(D134="","",(VLOOKUP($D134,master_food_list,'Master Food List'!N$91,FALSE)))</f>
        <v>270</v>
      </c>
      <c r="F134" s="293">
        <f ca="1">IF(E134="","",(VLOOKUP($D134,master_food_list,'Master Food List'!O$91,FALSE)))</f>
        <v>72</v>
      </c>
      <c r="G134" s="293">
        <f ca="1">IF(F134="","",(VLOOKUP($D134,master_food_list,'Master Food List'!P$91,FALSE)))</f>
        <v>3</v>
      </c>
      <c r="H134" s="293">
        <f ca="1">IF(G134="","",(VLOOKUP($D134,master_food_list,'Master Food List'!Q$91,FALSE)))</f>
        <v>0</v>
      </c>
      <c r="I134" s="293">
        <f ca="1">IF(H134="","",(VLOOKUP($D134,master_food_list,'Master Food List'!R$91,FALSE)))</f>
        <v>0</v>
      </c>
      <c r="J134" s="293">
        <f ca="1">IF(I134="","",(VLOOKUP($D134,master_food_list,'Master Food List'!S$91,FALSE)))</f>
        <v>0</v>
      </c>
      <c r="K134" s="293">
        <f ca="1">IF(J134="","",(VLOOKUP($D134,master_food_list,'Master Food List'!T$91,FALSE)))</f>
        <v>112.5</v>
      </c>
    </row>
    <row r="135" spans="1:11" customFormat="1" ht="51" x14ac:dyDescent="0.2">
      <c r="A135" s="286">
        <v>18</v>
      </c>
      <c r="B135" s="287" t="s">
        <v>210</v>
      </c>
      <c r="C135" s="287" t="s">
        <v>460</v>
      </c>
      <c r="D135" s="288"/>
      <c r="E135" s="293" t="str">
        <f>IF(D135="","",(VLOOKUP($D135,master_food_list,'Master Food List'!N$91,FALSE)))</f>
        <v/>
      </c>
      <c r="F135" s="293" t="str">
        <f>IF(E135="","",(VLOOKUP($D135,master_food_list,'Master Food List'!O$91,FALSE)))</f>
        <v/>
      </c>
      <c r="G135" s="293" t="str">
        <f>IF(F135="","",(VLOOKUP($D135,master_food_list,'Master Food List'!P$91,FALSE)))</f>
        <v/>
      </c>
      <c r="H135" s="293" t="str">
        <f>IF(G135="","",(VLOOKUP($D135,master_food_list,'Master Food List'!Q$91,FALSE)))</f>
        <v/>
      </c>
      <c r="I135" s="293" t="str">
        <f>IF(H135="","",(VLOOKUP($D135,master_food_list,'Master Food List'!R$91,FALSE)))</f>
        <v/>
      </c>
      <c r="J135" s="293" t="str">
        <f>IF(I135="","",(VLOOKUP($D135,master_food_list,'Master Food List'!S$91,FALSE)))</f>
        <v/>
      </c>
      <c r="K135" s="293" t="str">
        <f>IF(J135="","",(VLOOKUP($D135,master_food_list,'Master Food List'!T$91,FALSE)))</f>
        <v/>
      </c>
    </row>
    <row r="136" spans="1:11" customFormat="1" ht="51" x14ac:dyDescent="0.2">
      <c r="A136" s="286">
        <v>18</v>
      </c>
      <c r="B136" s="287" t="s">
        <v>210</v>
      </c>
      <c r="C136" s="287" t="s">
        <v>459</v>
      </c>
      <c r="D136" s="288" t="s">
        <v>490</v>
      </c>
      <c r="E136" s="293">
        <f ca="1">IF(D136="","",(VLOOKUP($D136,master_food_list,'Master Food List'!N$91,FALSE)))</f>
        <v>225</v>
      </c>
      <c r="F136" s="293">
        <f ca="1">IF(E136="","",(VLOOKUP($D136,master_food_list,'Master Food List'!O$91,FALSE)))</f>
        <v>30</v>
      </c>
      <c r="G136" s="293">
        <f ca="1">IF(F136="","",(VLOOKUP($D136,master_food_list,'Master Food List'!P$91,FALSE)))</f>
        <v>20</v>
      </c>
      <c r="H136" s="293">
        <f ca="1">IF(G136="","",(VLOOKUP($D136,master_food_list,'Master Food List'!Q$91,FALSE)))</f>
        <v>3.75</v>
      </c>
      <c r="I136" s="293">
        <f ca="1">IF(H136="","",(VLOOKUP($D136,master_food_list,'Master Food List'!R$91,FALSE)))</f>
        <v>875</v>
      </c>
      <c r="J136" s="293">
        <f ca="1">IF(I136="","",(VLOOKUP($D136,master_food_list,'Master Food List'!S$91,FALSE)))</f>
        <v>0</v>
      </c>
      <c r="K136" s="293">
        <f ca="1">IF(J136="","",(VLOOKUP($D136,master_food_list,'Master Food List'!T$91,FALSE)))</f>
        <v>83.333333333333329</v>
      </c>
    </row>
    <row r="137" spans="1:11" customFormat="1" ht="51" x14ac:dyDescent="0.2">
      <c r="A137" s="286">
        <v>18</v>
      </c>
      <c r="B137" s="287" t="s">
        <v>210</v>
      </c>
      <c r="C137" s="287" t="s">
        <v>458</v>
      </c>
      <c r="D137" s="288" t="s">
        <v>492</v>
      </c>
      <c r="E137" s="293">
        <f ca="1">IF(D137="","",(VLOOKUP($D137,master_food_list,'Master Food List'!N$91,FALSE)))</f>
        <v>620</v>
      </c>
      <c r="F137" s="293">
        <f ca="1">IF(E137="","",(VLOOKUP($D137,master_food_list,'Master Food List'!O$91,FALSE)))</f>
        <v>90</v>
      </c>
      <c r="G137" s="293">
        <f ca="1">IF(F137="","",(VLOOKUP($D137,master_food_list,'Master Food List'!P$91,FALSE)))</f>
        <v>28</v>
      </c>
      <c r="H137" s="293">
        <f ca="1">IF(G137="","",(VLOOKUP($D137,master_food_list,'Master Food List'!Q$91,FALSE)))</f>
        <v>20</v>
      </c>
      <c r="I137" s="293">
        <f ca="1">IF(H137="","",(VLOOKUP($D137,master_food_list,'Master Food List'!R$91,FALSE)))</f>
        <v>1340</v>
      </c>
      <c r="J137" s="293">
        <f ca="1">IF(I137="","",(VLOOKUP($D137,master_food_list,'Master Food List'!S$91,FALSE)))</f>
        <v>0</v>
      </c>
      <c r="K137" s="293">
        <f ca="1">IF(J137="","",(VLOOKUP($D137,master_food_list,'Master Food List'!T$91,FALSE)))</f>
        <v>122.04724409448819</v>
      </c>
    </row>
    <row r="138" spans="1:11" customFormat="1" ht="51" x14ac:dyDescent="0.2">
      <c r="A138" s="286">
        <v>18</v>
      </c>
      <c r="B138" s="287" t="s">
        <v>210</v>
      </c>
      <c r="C138" s="287" t="s">
        <v>457</v>
      </c>
      <c r="D138" s="288" t="s">
        <v>479</v>
      </c>
      <c r="E138" s="293">
        <f ca="1">IF(D138="","",(VLOOKUP($D138,master_food_list,'Master Food List'!N$91,FALSE)))</f>
        <v>300</v>
      </c>
      <c r="F138" s="293">
        <f ca="1">IF(E138="","",(VLOOKUP($D138,master_food_list,'Master Food List'!O$91,FALSE)))</f>
        <v>10.5</v>
      </c>
      <c r="G138" s="293">
        <f ca="1">IF(F138="","",(VLOOKUP($D138,master_food_list,'Master Food List'!P$91,FALSE)))</f>
        <v>10.5</v>
      </c>
      <c r="H138" s="293">
        <f ca="1">IF(G138="","",(VLOOKUP($D138,master_food_list,'Master Food List'!Q$91,FALSE)))</f>
        <v>25.5</v>
      </c>
      <c r="I138" s="293">
        <f ca="1">IF(H138="","",(VLOOKUP($D138,master_food_list,'Master Food List'!R$91,FALSE)))</f>
        <v>150</v>
      </c>
      <c r="J138" s="293">
        <f ca="1">IF(I138="","",(VLOOKUP($D138,master_food_list,'Master Food List'!S$91,FALSE)))</f>
        <v>0</v>
      </c>
      <c r="K138" s="293">
        <f ca="1">IF(J138="","",(VLOOKUP($D138,master_food_list,'Master Food List'!T$91,FALSE)))</f>
        <v>177.77777777777777</v>
      </c>
    </row>
    <row r="139" spans="1:11" customFormat="1" ht="51" x14ac:dyDescent="0.2">
      <c r="A139" s="286">
        <v>18</v>
      </c>
      <c r="B139" s="287" t="s">
        <v>210</v>
      </c>
      <c r="C139" s="287" t="s">
        <v>455</v>
      </c>
      <c r="D139" s="288" t="s">
        <v>482</v>
      </c>
      <c r="E139" s="293">
        <f ca="1">IF(D139="","",(VLOOKUP($D139,master_food_list,'Master Food List'!N$91,FALSE)))</f>
        <v>110</v>
      </c>
      <c r="F139" s="293">
        <f ca="1">IF(E139="","",(VLOOKUP($D139,master_food_list,'Master Food List'!O$91,FALSE)))</f>
        <v>21</v>
      </c>
      <c r="G139" s="293">
        <f ca="1">IF(F139="","",(VLOOKUP($D139,master_food_list,'Master Food List'!P$91,FALSE)))</f>
        <v>1</v>
      </c>
      <c r="H139" s="293">
        <f ca="1">IF(G139="","",(VLOOKUP($D139,master_food_list,'Master Food List'!Q$91,FALSE)))</f>
        <v>2</v>
      </c>
      <c r="I139" s="293">
        <f ca="1">IF(H139="","",(VLOOKUP($D139,master_food_list,'Master Food List'!R$91,FALSE)))</f>
        <v>150</v>
      </c>
      <c r="J139" s="293">
        <f ca="1">IF(I139="","",(VLOOKUP($D139,master_food_list,'Master Food List'!S$91,FALSE)))</f>
        <v>0</v>
      </c>
      <c r="K139" s="293">
        <f ca="1">IF(J139="","",(VLOOKUP($D139,master_food_list,'Master Food List'!T$91,FALSE)))</f>
        <v>118.27956989247312</v>
      </c>
    </row>
    <row r="140" spans="1:11" customFormat="1" ht="51" x14ac:dyDescent="0.2">
      <c r="A140" s="286">
        <v>19</v>
      </c>
      <c r="B140" s="287" t="s">
        <v>210</v>
      </c>
      <c r="C140" s="287" t="s">
        <v>462</v>
      </c>
      <c r="D140" s="288" t="s">
        <v>480</v>
      </c>
      <c r="E140" s="293">
        <f ca="1">IF(D140="","",(VLOOKUP($D140,master_food_list,'Master Food List'!N$91,FALSE)))</f>
        <v>620</v>
      </c>
      <c r="F140" s="293">
        <f ca="1">IF(E140="","",(VLOOKUP($D140,master_food_list,'Master Food List'!O$91,FALSE)))</f>
        <v>74</v>
      </c>
      <c r="G140" s="293">
        <f ca="1">IF(F140="","",(VLOOKUP($D140,master_food_list,'Master Food List'!P$91,FALSE)))</f>
        <v>16</v>
      </c>
      <c r="H140" s="293">
        <f ca="1">IF(G140="","",(VLOOKUP($D140,master_food_list,'Master Food List'!Q$91,FALSE)))</f>
        <v>31</v>
      </c>
      <c r="I140" s="293">
        <f ca="1">IF(H140="","",(VLOOKUP($D140,master_food_list,'Master Food List'!R$91,FALSE)))</f>
        <v>280</v>
      </c>
      <c r="J140" s="293">
        <f ca="1">IF(I140="","",(VLOOKUP($D140,master_food_list,'Master Food List'!S$91,FALSE)))</f>
        <v>0</v>
      </c>
      <c r="K140" s="293">
        <f ca="1">IF(J140="","",(VLOOKUP($D140,master_food_list,'Master Food List'!T$91,FALSE)))</f>
        <v>130.52631578947367</v>
      </c>
    </row>
    <row r="141" spans="1:11" customFormat="1" ht="51" x14ac:dyDescent="0.2">
      <c r="A141" s="286">
        <v>19</v>
      </c>
      <c r="B141" s="287" t="s">
        <v>210</v>
      </c>
      <c r="C141" s="287" t="s">
        <v>461</v>
      </c>
      <c r="D141" s="288" t="s">
        <v>489</v>
      </c>
      <c r="E141" s="293">
        <f ca="1">IF(D141="","",(VLOOKUP($D141,master_food_list,'Master Food List'!N$91,FALSE)))</f>
        <v>200</v>
      </c>
      <c r="F141" s="293">
        <f ca="1">IF(E141="","",(VLOOKUP($D141,master_food_list,'Master Food List'!O$91,FALSE)))</f>
        <v>25</v>
      </c>
      <c r="G141" s="293">
        <f ca="1">IF(F141="","",(VLOOKUP($D141,master_food_list,'Master Food List'!P$91,FALSE)))</f>
        <v>22.5</v>
      </c>
      <c r="H141" s="293">
        <f ca="1">IF(G141="","",(VLOOKUP($D141,master_food_list,'Master Food List'!Q$91,FALSE)))</f>
        <v>1.25</v>
      </c>
      <c r="I141" s="293">
        <f ca="1">IF(H141="","",(VLOOKUP($D141,master_food_list,'Master Food List'!R$91,FALSE)))</f>
        <v>800</v>
      </c>
      <c r="J141" s="293">
        <f ca="1">IF(I141="","",(VLOOKUP($D141,master_food_list,'Master Food List'!S$91,FALSE)))</f>
        <v>0</v>
      </c>
      <c r="K141" s="293">
        <f ca="1">IF(J141="","",(VLOOKUP($D141,master_food_list,'Master Food List'!T$91,FALSE)))</f>
        <v>74.074074074074076</v>
      </c>
    </row>
    <row r="142" spans="1:11" customFormat="1" ht="51" x14ac:dyDescent="0.2">
      <c r="A142" s="286">
        <v>19</v>
      </c>
      <c r="B142" s="287" t="s">
        <v>210</v>
      </c>
      <c r="C142" s="287" t="s">
        <v>460</v>
      </c>
      <c r="D142" s="288"/>
      <c r="E142" s="293" t="str">
        <f>IF(D142="","",(VLOOKUP($D142,master_food_list,'Master Food List'!N$91,FALSE)))</f>
        <v/>
      </c>
      <c r="F142" s="293" t="str">
        <f>IF(E142="","",(VLOOKUP($D142,master_food_list,'Master Food List'!O$91,FALSE)))</f>
        <v/>
      </c>
      <c r="G142" s="293" t="str">
        <f>IF(F142="","",(VLOOKUP($D142,master_food_list,'Master Food List'!P$91,FALSE)))</f>
        <v/>
      </c>
      <c r="H142" s="293" t="str">
        <f>IF(G142="","",(VLOOKUP($D142,master_food_list,'Master Food List'!Q$91,FALSE)))</f>
        <v/>
      </c>
      <c r="I142" s="293" t="str">
        <f>IF(H142="","",(VLOOKUP($D142,master_food_list,'Master Food List'!R$91,FALSE)))</f>
        <v/>
      </c>
      <c r="J142" s="293" t="str">
        <f>IF(I142="","",(VLOOKUP($D142,master_food_list,'Master Food List'!S$91,FALSE)))</f>
        <v/>
      </c>
      <c r="K142" s="293" t="str">
        <f>IF(J142="","",(VLOOKUP($D142,master_food_list,'Master Food List'!T$91,FALSE)))</f>
        <v/>
      </c>
    </row>
    <row r="143" spans="1:11" customFormat="1" ht="51" x14ac:dyDescent="0.2">
      <c r="A143" s="286">
        <v>19</v>
      </c>
      <c r="B143" s="287" t="s">
        <v>210</v>
      </c>
      <c r="C143" s="287" t="s">
        <v>459</v>
      </c>
      <c r="D143" s="288" t="s">
        <v>427</v>
      </c>
      <c r="E143" s="293">
        <f ca="1">IF(D143="","",(VLOOKUP($D143,master_food_list,'Master Food List'!N$91,FALSE)))</f>
        <v>300</v>
      </c>
      <c r="F143" s="293">
        <f ca="1">IF(E143="","",(VLOOKUP($D143,master_food_list,'Master Food List'!O$91,FALSE)))</f>
        <v>24</v>
      </c>
      <c r="G143" s="293">
        <f ca="1">IF(F143="","",(VLOOKUP($D143,master_food_list,'Master Food List'!P$91,FALSE)))</f>
        <v>8</v>
      </c>
      <c r="H143" s="293">
        <f ca="1">IF(G143="","",(VLOOKUP($D143,master_food_list,'Master Food List'!Q$91,FALSE)))</f>
        <v>20</v>
      </c>
      <c r="I143" s="293">
        <f ca="1">IF(H143="","",(VLOOKUP($D143,master_food_list,'Master Food List'!R$91,FALSE)))</f>
        <v>120</v>
      </c>
      <c r="J143" s="293">
        <f ca="1">IF(I143="","",(VLOOKUP($D143,master_food_list,'Master Food List'!S$91,FALSE)))</f>
        <v>0</v>
      </c>
      <c r="K143" s="293">
        <f ca="1">IF(J143="","",(VLOOKUP($D143,master_food_list,'Master Food List'!T$91,FALSE)))</f>
        <v>150</v>
      </c>
    </row>
    <row r="144" spans="1:11" customFormat="1" ht="51" x14ac:dyDescent="0.2">
      <c r="A144" s="286">
        <v>19</v>
      </c>
      <c r="B144" s="287" t="s">
        <v>210</v>
      </c>
      <c r="C144" s="287" t="s">
        <v>458</v>
      </c>
      <c r="D144" s="288" t="s">
        <v>436</v>
      </c>
      <c r="E144" s="293">
        <f ca="1">IF(D144="","",(VLOOKUP($D144,master_food_list,'Master Food List'!N$91,FALSE)))</f>
        <v>620</v>
      </c>
      <c r="F144" s="293">
        <f ca="1">IF(E144="","",(VLOOKUP($D144,master_food_list,'Master Food List'!O$91,FALSE)))</f>
        <v>144</v>
      </c>
      <c r="G144" s="293">
        <f ca="1">IF(F144="","",(VLOOKUP($D144,master_food_list,'Master Food List'!P$91,FALSE)))</f>
        <v>28</v>
      </c>
      <c r="H144" s="293">
        <f ca="1">IF(G144="","",(VLOOKUP($D144,master_food_list,'Master Food List'!Q$91,FALSE)))</f>
        <v>7</v>
      </c>
      <c r="I144" s="293">
        <f ca="1">IF(H144="","",(VLOOKUP($D144,master_food_list,'Master Food List'!R$91,FALSE)))</f>
        <v>1160</v>
      </c>
      <c r="J144" s="293">
        <f ca="1">IF(I144="","",(VLOOKUP($D144,master_food_list,'Master Food List'!S$91,FALSE)))</f>
        <v>0</v>
      </c>
      <c r="K144" s="293">
        <f ca="1">IF(J144="","",(VLOOKUP($D144,master_food_list,'Master Food List'!T$91,FALSE)))</f>
        <v>103.33333333333333</v>
      </c>
    </row>
    <row r="145" spans="1:11" customFormat="1" ht="51" x14ac:dyDescent="0.2">
      <c r="A145" s="286">
        <v>19</v>
      </c>
      <c r="B145" s="287" t="s">
        <v>210</v>
      </c>
      <c r="C145" s="287" t="s">
        <v>457</v>
      </c>
      <c r="D145" s="288" t="s">
        <v>479</v>
      </c>
      <c r="E145" s="293">
        <f ca="1">IF(D145="","",(VLOOKUP($D145,master_food_list,'Master Food List'!N$91,FALSE)))</f>
        <v>300</v>
      </c>
      <c r="F145" s="293">
        <f ca="1">IF(E145="","",(VLOOKUP($D145,master_food_list,'Master Food List'!O$91,FALSE)))</f>
        <v>10.5</v>
      </c>
      <c r="G145" s="293">
        <f ca="1">IF(F145="","",(VLOOKUP($D145,master_food_list,'Master Food List'!P$91,FALSE)))</f>
        <v>10.5</v>
      </c>
      <c r="H145" s="293">
        <f ca="1">IF(G145="","",(VLOOKUP($D145,master_food_list,'Master Food List'!Q$91,FALSE)))</f>
        <v>25.5</v>
      </c>
      <c r="I145" s="293">
        <f ca="1">IF(H145="","",(VLOOKUP($D145,master_food_list,'Master Food List'!R$91,FALSE)))</f>
        <v>150</v>
      </c>
      <c r="J145" s="293">
        <f ca="1">IF(I145="","",(VLOOKUP($D145,master_food_list,'Master Food List'!S$91,FALSE)))</f>
        <v>0</v>
      </c>
      <c r="K145" s="293">
        <f ca="1">IF(J145="","",(VLOOKUP($D145,master_food_list,'Master Food List'!T$91,FALSE)))</f>
        <v>177.77777777777777</v>
      </c>
    </row>
    <row r="146" spans="1:11" customFormat="1" ht="51" x14ac:dyDescent="0.2">
      <c r="A146" s="286">
        <v>19</v>
      </c>
      <c r="B146" s="287" t="s">
        <v>210</v>
      </c>
      <c r="C146" s="287" t="s">
        <v>455</v>
      </c>
      <c r="D146" s="288" t="s">
        <v>482</v>
      </c>
      <c r="E146" s="293">
        <f ca="1">IF(D146="","",(VLOOKUP($D146,master_food_list,'Master Food List'!N$91,FALSE)))</f>
        <v>110</v>
      </c>
      <c r="F146" s="293">
        <f ca="1">IF(E146="","",(VLOOKUP($D146,master_food_list,'Master Food List'!O$91,FALSE)))</f>
        <v>21</v>
      </c>
      <c r="G146" s="293">
        <f ca="1">IF(F146="","",(VLOOKUP($D146,master_food_list,'Master Food List'!P$91,FALSE)))</f>
        <v>1</v>
      </c>
      <c r="H146" s="293">
        <f ca="1">IF(G146="","",(VLOOKUP($D146,master_food_list,'Master Food List'!Q$91,FALSE)))</f>
        <v>2</v>
      </c>
      <c r="I146" s="293">
        <f ca="1">IF(H146="","",(VLOOKUP($D146,master_food_list,'Master Food List'!R$91,FALSE)))</f>
        <v>150</v>
      </c>
      <c r="J146" s="293">
        <f ca="1">IF(I146="","",(VLOOKUP($D146,master_food_list,'Master Food List'!S$91,FALSE)))</f>
        <v>0</v>
      </c>
      <c r="K146" s="293">
        <f ca="1">IF(J146="","",(VLOOKUP($D146,master_food_list,'Master Food List'!T$91,FALSE)))</f>
        <v>118.27956989247312</v>
      </c>
    </row>
    <row r="147" spans="1:11" customFormat="1" ht="51" x14ac:dyDescent="0.2">
      <c r="A147" s="286">
        <v>20</v>
      </c>
      <c r="B147" s="287" t="s">
        <v>210</v>
      </c>
      <c r="C147" s="287" t="s">
        <v>462</v>
      </c>
      <c r="D147" s="288" t="s">
        <v>485</v>
      </c>
      <c r="E147" s="293">
        <f ca="1">IF(D147="","",(VLOOKUP($D147,master_food_list,'Master Food List'!N$91,FALSE)))</f>
        <v>500</v>
      </c>
      <c r="F147" s="293">
        <f ca="1">IF(E147="","",(VLOOKUP($D147,master_food_list,'Master Food List'!O$91,FALSE)))</f>
        <v>74</v>
      </c>
      <c r="G147" s="293">
        <f ca="1">IF(F147="","",(VLOOKUP($D147,master_food_list,'Master Food List'!P$91,FALSE)))</f>
        <v>16</v>
      </c>
      <c r="H147" s="293">
        <f ca="1">IF(G147="","",(VLOOKUP($D147,master_food_list,'Master Food List'!Q$91,FALSE)))</f>
        <v>18</v>
      </c>
      <c r="I147" s="293">
        <f ca="1">IF(H147="","",(VLOOKUP($D147,master_food_list,'Master Food List'!R$91,FALSE)))</f>
        <v>130</v>
      </c>
      <c r="J147" s="293">
        <f ca="1">IF(I147="","",(VLOOKUP($D147,master_food_list,'Master Food List'!S$91,FALSE)))</f>
        <v>0</v>
      </c>
      <c r="K147" s="293">
        <f ca="1">IF(J147="","",(VLOOKUP($D147,master_food_list,'Master Food List'!T$91,FALSE)))</f>
        <v>126.55024044545685</v>
      </c>
    </row>
    <row r="148" spans="1:11" customFormat="1" ht="51" x14ac:dyDescent="0.2">
      <c r="A148" s="286">
        <v>20</v>
      </c>
      <c r="B148" s="287" t="s">
        <v>210</v>
      </c>
      <c r="C148" s="287" t="s">
        <v>461</v>
      </c>
      <c r="D148" s="288" t="s">
        <v>333</v>
      </c>
      <c r="E148" s="293">
        <f ca="1">IF(D148="","",(VLOOKUP($D148,master_food_list,'Master Food List'!N$91,FALSE)))</f>
        <v>325</v>
      </c>
      <c r="F148" s="293">
        <f ca="1">IF(E148="","",(VLOOKUP($D148,master_food_list,'Master Food List'!O$91,FALSE)))</f>
        <v>40</v>
      </c>
      <c r="G148" s="293">
        <f ca="1">IF(F148="","",(VLOOKUP($D148,master_food_list,'Master Food List'!P$91,FALSE)))</f>
        <v>2.5</v>
      </c>
      <c r="H148" s="293">
        <f ca="1">IF(G148="","",(VLOOKUP($D148,master_food_list,'Master Food List'!Q$91,FALSE)))</f>
        <v>17.5</v>
      </c>
      <c r="I148" s="293">
        <f ca="1">IF(H148="","",(VLOOKUP($D148,master_food_list,'Master Food List'!R$91,FALSE)))</f>
        <v>25</v>
      </c>
      <c r="J148" s="293">
        <f ca="1">IF(I148="","",(VLOOKUP($D148,master_food_list,'Master Food List'!S$91,FALSE)))</f>
        <v>0</v>
      </c>
      <c r="K148" s="293">
        <f ca="1">IF(J148="","",(VLOOKUP($D148,master_food_list,'Master Food List'!T$91,FALSE)))</f>
        <v>156.25</v>
      </c>
    </row>
    <row r="149" spans="1:11" customFormat="1" ht="51" x14ac:dyDescent="0.2">
      <c r="A149" s="286">
        <v>20</v>
      </c>
      <c r="B149" s="287" t="s">
        <v>210</v>
      </c>
      <c r="C149" s="287" t="s">
        <v>460</v>
      </c>
      <c r="D149" s="288"/>
      <c r="E149" s="293" t="str">
        <f>IF(D149="","",(VLOOKUP($D149,master_food_list,'Master Food List'!N$91,FALSE)))</f>
        <v/>
      </c>
      <c r="F149" s="293" t="str">
        <f>IF(E149="","",(VLOOKUP($D149,master_food_list,'Master Food List'!O$91,FALSE)))</f>
        <v/>
      </c>
      <c r="G149" s="293" t="str">
        <f>IF(F149="","",(VLOOKUP($D149,master_food_list,'Master Food List'!P$91,FALSE)))</f>
        <v/>
      </c>
      <c r="H149" s="293" t="str">
        <f>IF(G149="","",(VLOOKUP($D149,master_food_list,'Master Food List'!Q$91,FALSE)))</f>
        <v/>
      </c>
      <c r="I149" s="293" t="str">
        <f>IF(H149="","",(VLOOKUP($D149,master_food_list,'Master Food List'!R$91,FALSE)))</f>
        <v/>
      </c>
      <c r="J149" s="293" t="str">
        <f>IF(I149="","",(VLOOKUP($D149,master_food_list,'Master Food List'!S$91,FALSE)))</f>
        <v/>
      </c>
      <c r="K149" s="293" t="str">
        <f>IF(J149="","",(VLOOKUP($D149,master_food_list,'Master Food List'!T$91,FALSE)))</f>
        <v/>
      </c>
    </row>
    <row r="150" spans="1:11" customFormat="1" ht="51" x14ac:dyDescent="0.2">
      <c r="A150" s="286">
        <v>20</v>
      </c>
      <c r="B150" s="287" t="s">
        <v>210</v>
      </c>
      <c r="C150" s="287" t="s">
        <v>459</v>
      </c>
      <c r="D150" s="288" t="s">
        <v>347</v>
      </c>
      <c r="E150" s="293">
        <f ca="1">IF(D150="","",(VLOOKUP($D150,master_food_list,'Master Food List'!N$91,FALSE)))</f>
        <v>665</v>
      </c>
      <c r="F150" s="293">
        <f ca="1">IF(E150="","",(VLOOKUP($D150,master_food_list,'Master Food List'!O$91,FALSE)))</f>
        <v>0</v>
      </c>
      <c r="G150" s="293">
        <f ca="1">IF(F150="","",(VLOOKUP($D150,master_food_list,'Master Food List'!P$91,FALSE)))</f>
        <v>35</v>
      </c>
      <c r="H150" s="293">
        <f ca="1">IF(G150="","",(VLOOKUP($D150,master_food_list,'Master Food List'!Q$91,FALSE)))</f>
        <v>56</v>
      </c>
      <c r="I150" s="293">
        <f ca="1">IF(H150="","",(VLOOKUP($D150,master_food_list,'Master Food List'!R$91,FALSE)))</f>
        <v>2415</v>
      </c>
      <c r="J150" s="293">
        <f ca="1">IF(I150="","",(VLOOKUP($D150,master_food_list,'Master Food List'!S$91,FALSE)))</f>
        <v>0</v>
      </c>
      <c r="K150" s="293">
        <f ca="1">IF(J150="","",(VLOOKUP($D150,master_food_list,'Master Food List'!T$91,FALSE)))</f>
        <v>180.70652173913044</v>
      </c>
    </row>
    <row r="151" spans="1:11" customFormat="1" ht="51" x14ac:dyDescent="0.2">
      <c r="A151" s="286">
        <v>20</v>
      </c>
      <c r="B151" s="287" t="s">
        <v>210</v>
      </c>
      <c r="C151" s="287" t="s">
        <v>458</v>
      </c>
      <c r="D151" s="288" t="s">
        <v>442</v>
      </c>
      <c r="E151" s="293">
        <f ca="1">IF(D151="","",(VLOOKUP($D151,master_food_list,'Master Food List'!N$91,FALSE)))</f>
        <v>600</v>
      </c>
      <c r="F151" s="293">
        <f ca="1">IF(E151="","",(VLOOKUP($D151,master_food_list,'Master Food List'!O$91,FALSE)))</f>
        <v>160</v>
      </c>
      <c r="G151" s="293">
        <f ca="1">IF(F151="","",(VLOOKUP($D151,master_food_list,'Master Food List'!P$91,FALSE)))</f>
        <v>22</v>
      </c>
      <c r="H151" s="293">
        <f ca="1">IF(G151="","",(VLOOKUP($D151,master_food_list,'Master Food List'!Q$91,FALSE)))</f>
        <v>3</v>
      </c>
      <c r="I151" s="293">
        <f ca="1">IF(H151="","",(VLOOKUP($D151,master_food_list,'Master Food List'!R$91,FALSE)))</f>
        <v>960</v>
      </c>
      <c r="J151" s="293">
        <f ca="1">IF(I151="","",(VLOOKUP($D151,master_food_list,'Master Food List'!S$91,FALSE)))</f>
        <v>0</v>
      </c>
      <c r="K151" s="293">
        <f ca="1">IF(J151="","",(VLOOKUP($D151,master_food_list,'Master Food List'!T$91,FALSE)))</f>
        <v>104.34782608695652</v>
      </c>
    </row>
    <row r="152" spans="1:11" customFormat="1" ht="51" x14ac:dyDescent="0.2">
      <c r="A152" s="286">
        <v>20</v>
      </c>
      <c r="B152" s="287" t="s">
        <v>210</v>
      </c>
      <c r="C152" s="287" t="s">
        <v>457</v>
      </c>
      <c r="D152" s="288" t="s">
        <v>479</v>
      </c>
      <c r="E152" s="293">
        <f ca="1">IF(D152="","",(VLOOKUP($D152,master_food_list,'Master Food List'!N$91,FALSE)))</f>
        <v>300</v>
      </c>
      <c r="F152" s="293">
        <f ca="1">IF(E152="","",(VLOOKUP($D152,master_food_list,'Master Food List'!O$91,FALSE)))</f>
        <v>10.5</v>
      </c>
      <c r="G152" s="293">
        <f ca="1">IF(F152="","",(VLOOKUP($D152,master_food_list,'Master Food List'!P$91,FALSE)))</f>
        <v>10.5</v>
      </c>
      <c r="H152" s="293">
        <f ca="1">IF(G152="","",(VLOOKUP($D152,master_food_list,'Master Food List'!Q$91,FALSE)))</f>
        <v>25.5</v>
      </c>
      <c r="I152" s="293">
        <f ca="1">IF(H152="","",(VLOOKUP($D152,master_food_list,'Master Food List'!R$91,FALSE)))</f>
        <v>150</v>
      </c>
      <c r="J152" s="293">
        <f ca="1">IF(I152="","",(VLOOKUP($D152,master_food_list,'Master Food List'!S$91,FALSE)))</f>
        <v>0</v>
      </c>
      <c r="K152" s="293">
        <f ca="1">IF(J152="","",(VLOOKUP($D152,master_food_list,'Master Food List'!T$91,FALSE)))</f>
        <v>177.77777777777777</v>
      </c>
    </row>
    <row r="153" spans="1:11" customFormat="1" ht="51" x14ac:dyDescent="0.2">
      <c r="A153" s="286">
        <v>20</v>
      </c>
      <c r="B153" s="287" t="s">
        <v>210</v>
      </c>
      <c r="C153" s="287" t="s">
        <v>455</v>
      </c>
      <c r="D153" s="288" t="s">
        <v>313</v>
      </c>
      <c r="E153" s="293">
        <f ca="1">IF(D153="","",(VLOOKUP($D153,master_food_list,'Master Food List'!N$91,FALSE)))</f>
        <v>170</v>
      </c>
      <c r="F153" s="293">
        <f ca="1">IF(E153="","",(VLOOKUP($D153,master_food_list,'Master Food List'!O$91,FALSE)))</f>
        <v>28</v>
      </c>
      <c r="G153" s="293">
        <f ca="1">IF(F153="","",(VLOOKUP($D153,master_food_list,'Master Food List'!P$91,FALSE)))</f>
        <v>2</v>
      </c>
      <c r="H153" s="293">
        <f ca="1">IF(G153="","",(VLOOKUP($D153,master_food_list,'Master Food List'!Q$91,FALSE)))</f>
        <v>6</v>
      </c>
      <c r="I153" s="293">
        <f ca="1">IF(H153="","",(VLOOKUP($D153,master_food_list,'Master Food List'!R$91,FALSE)))</f>
        <v>135</v>
      </c>
      <c r="J153" s="293">
        <f ca="1">IF(I153="","",(VLOOKUP($D153,master_food_list,'Master Food List'!S$91,FALSE)))</f>
        <v>0</v>
      </c>
      <c r="K153" s="293">
        <f ca="1">IF(J153="","",(VLOOKUP($D153,master_food_list,'Master Food List'!T$91,FALSE)))</f>
        <v>150.44247787610621</v>
      </c>
    </row>
    <row r="154" spans="1:11" ht="34" x14ac:dyDescent="0.2">
      <c r="A154" s="296"/>
      <c r="B154" s="297" t="s">
        <v>708</v>
      </c>
      <c r="C154" s="297">
        <f>A155-A112</f>
        <v>6</v>
      </c>
      <c r="D154" s="298"/>
      <c r="E154" s="299"/>
      <c r="F154" s="299"/>
      <c r="G154" s="299"/>
      <c r="H154" s="299"/>
      <c r="I154" s="299"/>
      <c r="J154" s="299"/>
      <c r="K154" s="299"/>
    </row>
    <row r="155" spans="1:11" s="190" customFormat="1" ht="51" x14ac:dyDescent="0.2">
      <c r="A155" s="278">
        <v>21</v>
      </c>
      <c r="B155" s="279" t="s">
        <v>456</v>
      </c>
      <c r="C155" s="279" t="s">
        <v>462</v>
      </c>
      <c r="D155" s="280" t="s">
        <v>498</v>
      </c>
      <c r="E155" s="291">
        <f ca="1">IF(D155="","",(VLOOKUP($D155,master_food_list,'Master Food List'!N$91,FALSE)))</f>
        <v>1020</v>
      </c>
      <c r="F155" s="291">
        <f ca="1">IF(E155="","",(VLOOKUP($D155,master_food_list,'Master Food List'!O$91,FALSE)))</f>
        <v>96</v>
      </c>
      <c r="G155" s="291">
        <f ca="1">IF(F155="","",(VLOOKUP($D155,master_food_list,'Master Food List'!P$91,FALSE)))</f>
        <v>34</v>
      </c>
      <c r="H155" s="291">
        <f ca="1">IF(G155="","",(VLOOKUP($D155,master_food_list,'Master Food List'!Q$91,FALSE)))</f>
        <v>53</v>
      </c>
      <c r="I155" s="291">
        <f ca="1">IF(H155="","",(VLOOKUP($D155,master_food_list,'Master Food List'!R$91,FALSE)))</f>
        <v>2460</v>
      </c>
      <c r="J155" s="291">
        <f ca="1">IF(I155="","",(VLOOKUP($D155,master_food_list,'Master Food List'!S$91,FALSE)))</f>
        <v>0</v>
      </c>
      <c r="K155" s="291">
        <f ca="1">IF(J155="","",(VLOOKUP($D155,master_food_list,'Master Food List'!T$91,FALSE)))</f>
        <v>0</v>
      </c>
    </row>
    <row r="156" spans="1:11" s="190" customFormat="1" ht="51" x14ac:dyDescent="0.2">
      <c r="A156" s="278">
        <v>21</v>
      </c>
      <c r="B156" s="279" t="s">
        <v>456</v>
      </c>
      <c r="C156" s="279" t="s">
        <v>461</v>
      </c>
      <c r="D156" s="280" t="s">
        <v>481</v>
      </c>
      <c r="E156" s="291">
        <f ca="1">IF(D156="","",(VLOOKUP($D156,master_food_list,'Master Food List'!N$91,FALSE)))</f>
        <v>400</v>
      </c>
      <c r="F156" s="291">
        <f ca="1">IF(E156="","",(VLOOKUP($D156,master_food_list,'Master Food List'!O$91,FALSE)))</f>
        <v>72</v>
      </c>
      <c r="G156" s="291">
        <f ca="1">IF(F156="","",(VLOOKUP($D156,master_food_list,'Master Food List'!P$91,FALSE)))</f>
        <v>6</v>
      </c>
      <c r="H156" s="291">
        <f ca="1">IF(G156="","",(VLOOKUP($D156,master_food_list,'Master Food List'!Q$91,FALSE)))</f>
        <v>10</v>
      </c>
      <c r="I156" s="291">
        <f ca="1">IF(H156="","",(VLOOKUP($D156,master_food_list,'Master Food List'!R$91,FALSE)))</f>
        <v>420</v>
      </c>
      <c r="J156" s="291">
        <f ca="1">IF(I156="","",(VLOOKUP($D156,master_food_list,'Master Food List'!S$91,FALSE)))</f>
        <v>0</v>
      </c>
      <c r="K156" s="291">
        <f ca="1">IF(J156="","",(VLOOKUP($D156,master_food_list,'Master Food List'!T$91,FALSE)))</f>
        <v>109.09090909090909</v>
      </c>
    </row>
    <row r="157" spans="1:11" s="190" customFormat="1" ht="51" x14ac:dyDescent="0.2">
      <c r="A157" s="278">
        <v>21</v>
      </c>
      <c r="B157" s="279" t="s">
        <v>456</v>
      </c>
      <c r="C157" s="279" t="s">
        <v>460</v>
      </c>
      <c r="D157" s="280" t="s">
        <v>495</v>
      </c>
      <c r="E157" s="291">
        <f ca="1">IF(D157="","",(VLOOKUP($D157,master_food_list,'Master Food List'!N$91,FALSE)))</f>
        <v>122</v>
      </c>
      <c r="F157" s="291">
        <f ca="1">IF(E157="","",(VLOOKUP($D157,master_food_list,'Master Food List'!O$91,FALSE)))</f>
        <v>18</v>
      </c>
      <c r="G157" s="291">
        <f ca="1">IF(F157="","",(VLOOKUP($D157,master_food_list,'Master Food List'!P$91,FALSE)))</f>
        <v>9</v>
      </c>
      <c r="H157" s="291">
        <f ca="1">IF(G157="","",(VLOOKUP($D157,master_food_list,'Master Food List'!Q$91,FALSE)))</f>
        <v>7.5</v>
      </c>
      <c r="I157" s="291">
        <f ca="1">IF(H157="","",(VLOOKUP($D157,master_food_list,'Master Food List'!R$91,FALSE)))</f>
        <v>105</v>
      </c>
      <c r="J157" s="291">
        <f ca="1">IF(I157="","",(VLOOKUP($D157,master_food_list,'Master Food List'!S$91,FALSE)))</f>
        <v>0</v>
      </c>
      <c r="K157" s="291">
        <f ca="1">IF(J157="","",(VLOOKUP($D157,master_food_list,'Master Food List'!T$91,FALSE)))</f>
        <v>0</v>
      </c>
    </row>
    <row r="158" spans="1:11" s="190" customFormat="1" ht="51" x14ac:dyDescent="0.2">
      <c r="A158" s="278">
        <v>21</v>
      </c>
      <c r="B158" s="279" t="s">
        <v>456</v>
      </c>
      <c r="C158" s="279" t="s">
        <v>459</v>
      </c>
      <c r="D158" s="280" t="s">
        <v>347</v>
      </c>
      <c r="E158" s="291">
        <f ca="1">IF(D158="","",(VLOOKUP($D158,master_food_list,'Master Food List'!N$91,FALSE)))</f>
        <v>665</v>
      </c>
      <c r="F158" s="291">
        <f ca="1">IF(E158="","",(VLOOKUP($D158,master_food_list,'Master Food List'!O$91,FALSE)))</f>
        <v>0</v>
      </c>
      <c r="G158" s="291">
        <f ca="1">IF(F158="","",(VLOOKUP($D158,master_food_list,'Master Food List'!P$91,FALSE)))</f>
        <v>35</v>
      </c>
      <c r="H158" s="291">
        <f ca="1">IF(G158="","",(VLOOKUP($D158,master_food_list,'Master Food List'!Q$91,FALSE)))</f>
        <v>56</v>
      </c>
      <c r="I158" s="291">
        <f ca="1">IF(H158="","",(VLOOKUP($D158,master_food_list,'Master Food List'!R$91,FALSE)))</f>
        <v>2415</v>
      </c>
      <c r="J158" s="291">
        <f ca="1">IF(I158="","",(VLOOKUP($D158,master_food_list,'Master Food List'!S$91,FALSE)))</f>
        <v>0</v>
      </c>
      <c r="K158" s="291">
        <f ca="1">IF(J158="","",(VLOOKUP($D158,master_food_list,'Master Food List'!T$91,FALSE)))</f>
        <v>180.70652173913044</v>
      </c>
    </row>
    <row r="159" spans="1:11" s="190" customFormat="1" ht="51" x14ac:dyDescent="0.2">
      <c r="A159" s="278">
        <v>21</v>
      </c>
      <c r="B159" s="279" t="s">
        <v>456</v>
      </c>
      <c r="C159" s="279" t="s">
        <v>458</v>
      </c>
      <c r="D159" s="280" t="s">
        <v>519</v>
      </c>
      <c r="E159" s="291">
        <f ca="1">IF(D159="","",(VLOOKUP($D159,master_food_list,'Master Food List'!N$91,FALSE)))</f>
        <v>380</v>
      </c>
      <c r="F159" s="291">
        <f ca="1">IF(E159="","",(VLOOKUP($D159,master_food_list,'Master Food List'!O$91,FALSE)))</f>
        <v>66</v>
      </c>
      <c r="G159" s="291">
        <f ca="1">IF(F159="","",(VLOOKUP($D159,master_food_list,'Master Food List'!P$91,FALSE)))</f>
        <v>8</v>
      </c>
      <c r="H159" s="291">
        <f ca="1">IF(G159="","",(VLOOKUP($D159,master_food_list,'Master Food List'!Q$91,FALSE)))</f>
        <v>10</v>
      </c>
      <c r="I159" s="291">
        <f ca="1">IF(H159="","",(VLOOKUP($D159,master_food_list,'Master Food List'!R$91,FALSE)))</f>
        <v>500</v>
      </c>
      <c r="J159" s="291">
        <f ca="1">IF(I159="","",(VLOOKUP($D159,master_food_list,'Master Food List'!S$91,FALSE)))</f>
        <v>0</v>
      </c>
      <c r="K159" s="291">
        <f ca="1">IF(J159="","",(VLOOKUP($D159,master_food_list,'Master Food List'!T$91,FALSE)))</f>
        <v>118.75</v>
      </c>
    </row>
    <row r="160" spans="1:11" s="190" customFormat="1" ht="51" x14ac:dyDescent="0.2">
      <c r="A160" s="278">
        <v>21</v>
      </c>
      <c r="B160" s="279" t="s">
        <v>456</v>
      </c>
      <c r="C160" s="279" t="s">
        <v>457</v>
      </c>
      <c r="D160" s="280"/>
      <c r="E160" s="291" t="str">
        <f>IF(D160="","",(VLOOKUP($D160,master_food_list,'Master Food List'!N$91,FALSE)))</f>
        <v/>
      </c>
      <c r="F160" s="291" t="str">
        <f>IF(E160="","",(VLOOKUP($D160,master_food_list,'Master Food List'!O$91,FALSE)))</f>
        <v/>
      </c>
      <c r="G160" s="291" t="str">
        <f>IF(F160="","",(VLOOKUP($D160,master_food_list,'Master Food List'!P$91,FALSE)))</f>
        <v/>
      </c>
      <c r="H160" s="291" t="str">
        <f>IF(G160="","",(VLOOKUP($D160,master_food_list,'Master Food List'!Q$91,FALSE)))</f>
        <v/>
      </c>
      <c r="I160" s="291" t="str">
        <f>IF(H160="","",(VLOOKUP($D160,master_food_list,'Master Food List'!R$91,FALSE)))</f>
        <v/>
      </c>
      <c r="J160" s="291" t="str">
        <f>IF(I160="","",(VLOOKUP($D160,master_food_list,'Master Food List'!S$91,FALSE)))</f>
        <v/>
      </c>
      <c r="K160" s="291" t="str">
        <f>IF(J160="","",(VLOOKUP($D160,master_food_list,'Master Food List'!T$91,FALSE)))</f>
        <v/>
      </c>
    </row>
    <row r="161" spans="1:11" s="190" customFormat="1" ht="51" x14ac:dyDescent="0.2">
      <c r="A161" s="278">
        <v>21</v>
      </c>
      <c r="B161" s="279" t="s">
        <v>456</v>
      </c>
      <c r="C161" s="279" t="s">
        <v>455</v>
      </c>
      <c r="D161" s="280" t="s">
        <v>482</v>
      </c>
      <c r="E161" s="291">
        <f ca="1">IF(D161="","",(VLOOKUP($D161,master_food_list,'Master Food List'!N$91,FALSE)))</f>
        <v>110</v>
      </c>
      <c r="F161" s="291">
        <f ca="1">IF(E161="","",(VLOOKUP($D161,master_food_list,'Master Food List'!O$91,FALSE)))</f>
        <v>21</v>
      </c>
      <c r="G161" s="291">
        <f ca="1">IF(F161="","",(VLOOKUP($D161,master_food_list,'Master Food List'!P$91,FALSE)))</f>
        <v>1</v>
      </c>
      <c r="H161" s="291">
        <f ca="1">IF(G161="","",(VLOOKUP($D161,master_food_list,'Master Food List'!Q$91,FALSE)))</f>
        <v>2</v>
      </c>
      <c r="I161" s="291">
        <f ca="1">IF(H161="","",(VLOOKUP($D161,master_food_list,'Master Food List'!R$91,FALSE)))</f>
        <v>150</v>
      </c>
      <c r="J161" s="291">
        <f ca="1">IF(I161="","",(VLOOKUP($D161,master_food_list,'Master Food List'!S$91,FALSE)))</f>
        <v>0</v>
      </c>
      <c r="K161" s="291">
        <f ca="1">IF(J161="","",(VLOOKUP($D161,master_food_list,'Master Food List'!T$91,FALSE)))</f>
        <v>118.27956989247312</v>
      </c>
    </row>
    <row r="162" spans="1:11" s="190" customFormat="1" ht="51" x14ac:dyDescent="0.2">
      <c r="A162" s="278">
        <v>22</v>
      </c>
      <c r="B162" s="279" t="s">
        <v>456</v>
      </c>
      <c r="C162" s="279" t="s">
        <v>462</v>
      </c>
      <c r="D162" s="280" t="s">
        <v>284</v>
      </c>
      <c r="E162" s="291">
        <f ca="1">IF(D162="","",(VLOOKUP($D162,master_food_list,'Master Food List'!N$91,FALSE)))</f>
        <v>380</v>
      </c>
      <c r="F162" s="291">
        <f ca="1">IF(E162="","",(VLOOKUP($D162,master_food_list,'Master Food List'!O$91,FALSE)))</f>
        <v>70</v>
      </c>
      <c r="G162" s="291">
        <f ca="1">IF(F162="","",(VLOOKUP($D162,master_food_list,'Master Food List'!P$91,FALSE)))</f>
        <v>4</v>
      </c>
      <c r="H162" s="291">
        <f ca="1">IF(G162="","",(VLOOKUP($D162,master_food_list,'Master Food List'!Q$91,FALSE)))</f>
        <v>10</v>
      </c>
      <c r="I162" s="291">
        <f ca="1">IF(H162="","",(VLOOKUP($D162,master_food_list,'Master Food List'!R$91,FALSE)))</f>
        <v>380</v>
      </c>
      <c r="J162" s="291">
        <f ca="1">IF(I162="","",(VLOOKUP($D162,master_food_list,'Master Food List'!S$91,FALSE)))</f>
        <v>0</v>
      </c>
      <c r="K162" s="291">
        <f ca="1">IF(J162="","",(VLOOKUP($D162,master_food_list,'Master Food List'!T$91,FALSE)))</f>
        <v>107.80141843971631</v>
      </c>
    </row>
    <row r="163" spans="1:11" s="190" customFormat="1" ht="51" x14ac:dyDescent="0.2">
      <c r="A163" s="278">
        <v>22</v>
      </c>
      <c r="B163" s="279" t="s">
        <v>456</v>
      </c>
      <c r="C163" s="279" t="s">
        <v>461</v>
      </c>
      <c r="D163" s="280" t="s">
        <v>481</v>
      </c>
      <c r="E163" s="291">
        <f ca="1">IF(D163="","",(VLOOKUP($D163,master_food_list,'Master Food List'!N$91,FALSE)))</f>
        <v>400</v>
      </c>
      <c r="F163" s="291">
        <f ca="1">IF(E163="","",(VLOOKUP($D163,master_food_list,'Master Food List'!O$91,FALSE)))</f>
        <v>72</v>
      </c>
      <c r="G163" s="291">
        <f ca="1">IF(F163="","",(VLOOKUP($D163,master_food_list,'Master Food List'!P$91,FALSE)))</f>
        <v>6</v>
      </c>
      <c r="H163" s="291">
        <f ca="1">IF(G163="","",(VLOOKUP($D163,master_food_list,'Master Food List'!Q$91,FALSE)))</f>
        <v>10</v>
      </c>
      <c r="I163" s="291">
        <f ca="1">IF(H163="","",(VLOOKUP($D163,master_food_list,'Master Food List'!R$91,FALSE)))</f>
        <v>420</v>
      </c>
      <c r="J163" s="291">
        <f ca="1">IF(I163="","",(VLOOKUP($D163,master_food_list,'Master Food List'!S$91,FALSE)))</f>
        <v>0</v>
      </c>
      <c r="K163" s="291">
        <f ca="1">IF(J163="","",(VLOOKUP($D163,master_food_list,'Master Food List'!T$91,FALSE)))</f>
        <v>109.09090909090909</v>
      </c>
    </row>
    <row r="164" spans="1:11" s="190" customFormat="1" ht="51" x14ac:dyDescent="0.2">
      <c r="A164" s="278">
        <v>22</v>
      </c>
      <c r="B164" s="279" t="s">
        <v>456</v>
      </c>
      <c r="C164" s="279" t="s">
        <v>460</v>
      </c>
      <c r="D164" s="280" t="s">
        <v>495</v>
      </c>
      <c r="E164" s="291">
        <f ca="1">IF(D164="","",(VLOOKUP($D164,master_food_list,'Master Food List'!N$91,FALSE)))</f>
        <v>122</v>
      </c>
      <c r="F164" s="291">
        <f ca="1">IF(E164="","",(VLOOKUP($D164,master_food_list,'Master Food List'!O$91,FALSE)))</f>
        <v>18</v>
      </c>
      <c r="G164" s="291">
        <f ca="1">IF(F164="","",(VLOOKUP($D164,master_food_list,'Master Food List'!P$91,FALSE)))</f>
        <v>9</v>
      </c>
      <c r="H164" s="291">
        <f ca="1">IF(G164="","",(VLOOKUP($D164,master_food_list,'Master Food List'!Q$91,FALSE)))</f>
        <v>7.5</v>
      </c>
      <c r="I164" s="291">
        <f ca="1">IF(H164="","",(VLOOKUP($D164,master_food_list,'Master Food List'!R$91,FALSE)))</f>
        <v>105</v>
      </c>
      <c r="J164" s="291">
        <f ca="1">IF(I164="","",(VLOOKUP($D164,master_food_list,'Master Food List'!S$91,FALSE)))</f>
        <v>0</v>
      </c>
      <c r="K164" s="291">
        <f ca="1">IF(J164="","",(VLOOKUP($D164,master_food_list,'Master Food List'!T$91,FALSE)))</f>
        <v>0</v>
      </c>
    </row>
    <row r="165" spans="1:11" s="190" customFormat="1" ht="51" x14ac:dyDescent="0.2">
      <c r="A165" s="278">
        <v>22</v>
      </c>
      <c r="B165" s="279" t="s">
        <v>456</v>
      </c>
      <c r="C165" s="279" t="s">
        <v>459</v>
      </c>
      <c r="D165" s="280" t="s">
        <v>347</v>
      </c>
      <c r="E165" s="291">
        <f ca="1">IF(D165="","",(VLOOKUP($D165,master_food_list,'Master Food List'!N$91,FALSE)))</f>
        <v>665</v>
      </c>
      <c r="F165" s="291">
        <f ca="1">IF(E165="","",(VLOOKUP($D165,master_food_list,'Master Food List'!O$91,FALSE)))</f>
        <v>0</v>
      </c>
      <c r="G165" s="291">
        <f ca="1">IF(F165="","",(VLOOKUP($D165,master_food_list,'Master Food List'!P$91,FALSE)))</f>
        <v>35</v>
      </c>
      <c r="H165" s="291">
        <f ca="1">IF(G165="","",(VLOOKUP($D165,master_food_list,'Master Food List'!Q$91,FALSE)))</f>
        <v>56</v>
      </c>
      <c r="I165" s="291">
        <f ca="1">IF(H165="","",(VLOOKUP($D165,master_food_list,'Master Food List'!R$91,FALSE)))</f>
        <v>2415</v>
      </c>
      <c r="J165" s="291">
        <f ca="1">IF(I165="","",(VLOOKUP($D165,master_food_list,'Master Food List'!S$91,FALSE)))</f>
        <v>0</v>
      </c>
      <c r="K165" s="291">
        <f ca="1">IF(J165="","",(VLOOKUP($D165,master_food_list,'Master Food List'!T$91,FALSE)))</f>
        <v>180.70652173913044</v>
      </c>
    </row>
    <row r="166" spans="1:11" s="190" customFormat="1" ht="51" x14ac:dyDescent="0.2">
      <c r="A166" s="278">
        <v>22</v>
      </c>
      <c r="B166" s="279" t="s">
        <v>456</v>
      </c>
      <c r="C166" s="279" t="s">
        <v>458</v>
      </c>
      <c r="D166" s="280" t="s">
        <v>486</v>
      </c>
      <c r="E166" s="291">
        <f ca="1">IF(D166="","",(VLOOKUP($D166,master_food_list,'Master Food List'!N$91,FALSE)))</f>
        <v>960</v>
      </c>
      <c r="F166" s="291">
        <f ca="1">IF(E166="","",(VLOOKUP($D166,master_food_list,'Master Food List'!O$91,FALSE)))</f>
        <v>178</v>
      </c>
      <c r="G166" s="291">
        <f ca="1">IF(F166="","",(VLOOKUP($D166,master_food_list,'Master Food List'!P$91,FALSE)))</f>
        <v>34</v>
      </c>
      <c r="H166" s="291">
        <f ca="1">IF(G166="","",(VLOOKUP($D166,master_food_list,'Master Food List'!Q$91,FALSE)))</f>
        <v>12</v>
      </c>
      <c r="I166" s="291">
        <f ca="1">IF(H166="","",(VLOOKUP($D166,master_food_list,'Master Food List'!R$91,FALSE)))</f>
        <v>1620</v>
      </c>
      <c r="J166" s="291">
        <f ca="1">IF(I166="","",(VLOOKUP($D166,master_food_list,'Master Food List'!S$91,FALSE)))</f>
        <v>0</v>
      </c>
      <c r="K166" s="291">
        <f ca="1">IF(J166="","",(VLOOKUP($D166,master_food_list,'Master Food List'!T$91,FALSE)))</f>
        <v>109.09090909090908</v>
      </c>
    </row>
    <row r="167" spans="1:11" s="190" customFormat="1" ht="51" x14ac:dyDescent="0.2">
      <c r="A167" s="278">
        <v>22</v>
      </c>
      <c r="B167" s="279" t="s">
        <v>456</v>
      </c>
      <c r="C167" s="279" t="s">
        <v>457</v>
      </c>
      <c r="D167" s="280"/>
      <c r="E167" s="291" t="str">
        <f>IF(D167="","",(VLOOKUP($D167,master_food_list,'Master Food List'!N$91,FALSE)))</f>
        <v/>
      </c>
      <c r="F167" s="291" t="str">
        <f>IF(E167="","",(VLOOKUP($D167,master_food_list,'Master Food List'!O$91,FALSE)))</f>
        <v/>
      </c>
      <c r="G167" s="291" t="str">
        <f>IF(F167="","",(VLOOKUP($D167,master_food_list,'Master Food List'!P$91,FALSE)))</f>
        <v/>
      </c>
      <c r="H167" s="291" t="str">
        <f>IF(G167="","",(VLOOKUP($D167,master_food_list,'Master Food List'!Q$91,FALSE)))</f>
        <v/>
      </c>
      <c r="I167" s="291" t="str">
        <f>IF(H167="","",(VLOOKUP($D167,master_food_list,'Master Food List'!R$91,FALSE)))</f>
        <v/>
      </c>
      <c r="J167" s="291" t="str">
        <f>IF(I167="","",(VLOOKUP($D167,master_food_list,'Master Food List'!S$91,FALSE)))</f>
        <v/>
      </c>
      <c r="K167" s="291" t="str">
        <f>IF(J167="","",(VLOOKUP($D167,master_food_list,'Master Food List'!T$91,FALSE)))</f>
        <v/>
      </c>
    </row>
    <row r="168" spans="1:11" s="190" customFormat="1" ht="51" x14ac:dyDescent="0.2">
      <c r="A168" s="278">
        <v>22</v>
      </c>
      <c r="B168" s="279" t="s">
        <v>456</v>
      </c>
      <c r="C168" s="279" t="s">
        <v>455</v>
      </c>
      <c r="D168" s="280" t="s">
        <v>484</v>
      </c>
      <c r="E168" s="291">
        <f ca="1">IF(D168="","",(VLOOKUP($D168,master_food_list,'Master Food List'!N$91,FALSE)))</f>
        <v>540</v>
      </c>
      <c r="F168" s="291">
        <f ca="1">IF(E168="","",(VLOOKUP($D168,master_food_list,'Master Food List'!O$91,FALSE)))</f>
        <v>72</v>
      </c>
      <c r="G168" s="291">
        <f ca="1">IF(F168="","",(VLOOKUP($D168,master_food_list,'Master Food List'!P$91,FALSE)))</f>
        <v>14</v>
      </c>
      <c r="H168" s="291">
        <f ca="1">IF(G168="","",(VLOOKUP($D168,master_food_list,'Master Food List'!Q$91,FALSE)))</f>
        <v>22</v>
      </c>
      <c r="I168" s="291">
        <f ca="1">IF(H168="","",(VLOOKUP($D168,master_food_list,'Master Food List'!R$91,FALSE)))</f>
        <v>780</v>
      </c>
      <c r="J168" s="291">
        <f ca="1">IF(I168="","",(VLOOKUP($D168,master_food_list,'Master Food List'!S$91,FALSE)))</f>
        <v>0</v>
      </c>
      <c r="K168" s="291">
        <f ca="1">IF(J168="","",(VLOOKUP($D168,master_food_list,'Master Food List'!T$91,FALSE)))</f>
        <v>117.39130434782609</v>
      </c>
    </row>
    <row r="169" spans="1:11" s="189" customFormat="1" ht="51" x14ac:dyDescent="0.2">
      <c r="A169" s="282">
        <v>23</v>
      </c>
      <c r="B169" s="283" t="s">
        <v>456</v>
      </c>
      <c r="C169" s="283" t="s">
        <v>462</v>
      </c>
      <c r="D169" s="284" t="s">
        <v>480</v>
      </c>
      <c r="E169" s="292">
        <f ca="1">IF(D169="","",(VLOOKUP($D169,master_food_list,'Master Food List'!N$91,FALSE)))</f>
        <v>620</v>
      </c>
      <c r="F169" s="292">
        <f ca="1">IF(E169="","",(VLOOKUP($D169,master_food_list,'Master Food List'!O$91,FALSE)))</f>
        <v>74</v>
      </c>
      <c r="G169" s="292">
        <f ca="1">IF(F169="","",(VLOOKUP($D169,master_food_list,'Master Food List'!P$91,FALSE)))</f>
        <v>16</v>
      </c>
      <c r="H169" s="292">
        <f ca="1">IF(G169="","",(VLOOKUP($D169,master_food_list,'Master Food List'!Q$91,FALSE)))</f>
        <v>31</v>
      </c>
      <c r="I169" s="292">
        <f ca="1">IF(H169="","",(VLOOKUP($D169,master_food_list,'Master Food List'!R$91,FALSE)))</f>
        <v>280</v>
      </c>
      <c r="J169" s="292">
        <f ca="1">IF(I169="","",(VLOOKUP($D169,master_food_list,'Master Food List'!S$91,FALSE)))</f>
        <v>0</v>
      </c>
      <c r="K169" s="292">
        <f ca="1">IF(J169="","",(VLOOKUP($D169,master_food_list,'Master Food List'!T$91,FALSE)))</f>
        <v>130.52631578947367</v>
      </c>
    </row>
    <row r="170" spans="1:11" s="189" customFormat="1" ht="51" x14ac:dyDescent="0.2">
      <c r="A170" s="282">
        <v>23</v>
      </c>
      <c r="B170" s="283" t="s">
        <v>456</v>
      </c>
      <c r="C170" s="283" t="s">
        <v>461</v>
      </c>
      <c r="D170" s="284" t="s">
        <v>347</v>
      </c>
      <c r="E170" s="292">
        <f ca="1">IF(D170="","",(VLOOKUP($D170,master_food_list,'Master Food List'!N$91,FALSE)))</f>
        <v>665</v>
      </c>
      <c r="F170" s="292">
        <f ca="1">IF(E170="","",(VLOOKUP($D170,master_food_list,'Master Food List'!O$91,FALSE)))</f>
        <v>0</v>
      </c>
      <c r="G170" s="292">
        <f ca="1">IF(F170="","",(VLOOKUP($D170,master_food_list,'Master Food List'!P$91,FALSE)))</f>
        <v>35</v>
      </c>
      <c r="H170" s="292">
        <f ca="1">IF(G170="","",(VLOOKUP($D170,master_food_list,'Master Food List'!Q$91,FALSE)))</f>
        <v>56</v>
      </c>
      <c r="I170" s="292">
        <f ca="1">IF(H170="","",(VLOOKUP($D170,master_food_list,'Master Food List'!R$91,FALSE)))</f>
        <v>2415</v>
      </c>
      <c r="J170" s="292">
        <f ca="1">IF(I170="","",(VLOOKUP($D170,master_food_list,'Master Food List'!S$91,FALSE)))</f>
        <v>0</v>
      </c>
      <c r="K170" s="292">
        <f ca="1">IF(J170="","",(VLOOKUP($D170,master_food_list,'Master Food List'!T$91,FALSE)))</f>
        <v>180.70652173913044</v>
      </c>
    </row>
    <row r="171" spans="1:11" s="189" customFormat="1" ht="51" x14ac:dyDescent="0.2">
      <c r="A171" s="282">
        <v>23</v>
      </c>
      <c r="B171" s="283" t="s">
        <v>456</v>
      </c>
      <c r="C171" s="283" t="s">
        <v>460</v>
      </c>
      <c r="D171" s="284"/>
      <c r="E171" s="292" t="str">
        <f>IF(D171="","",(VLOOKUP($D171,master_food_list,'Master Food List'!N$91,FALSE)))</f>
        <v/>
      </c>
      <c r="F171" s="292" t="str">
        <f>IF(E171="","",(VLOOKUP($D171,master_food_list,'Master Food List'!O$91,FALSE)))</f>
        <v/>
      </c>
      <c r="G171" s="292" t="str">
        <f>IF(F171="","",(VLOOKUP($D171,master_food_list,'Master Food List'!P$91,FALSE)))</f>
        <v/>
      </c>
      <c r="H171" s="292" t="str">
        <f>IF(G171="","",(VLOOKUP($D171,master_food_list,'Master Food List'!Q$91,FALSE)))</f>
        <v/>
      </c>
      <c r="I171" s="292" t="str">
        <f>IF(H171="","",(VLOOKUP($D171,master_food_list,'Master Food List'!R$91,FALSE)))</f>
        <v/>
      </c>
      <c r="J171" s="292" t="str">
        <f>IF(I171="","",(VLOOKUP($D171,master_food_list,'Master Food List'!S$91,FALSE)))</f>
        <v/>
      </c>
      <c r="K171" s="292" t="str">
        <f>IF(J171="","",(VLOOKUP($D171,master_food_list,'Master Food List'!T$91,FALSE)))</f>
        <v/>
      </c>
    </row>
    <row r="172" spans="1:11" s="189" customFormat="1" ht="51" x14ac:dyDescent="0.2">
      <c r="A172" s="282">
        <v>23</v>
      </c>
      <c r="B172" s="283" t="s">
        <v>456</v>
      </c>
      <c r="C172" s="283" t="s">
        <v>459</v>
      </c>
      <c r="D172" s="284" t="s">
        <v>430</v>
      </c>
      <c r="E172" s="292">
        <f ca="1">IF(D172="","",(VLOOKUP($D172,master_food_list,'Master Food List'!N$91,FALSE)))</f>
        <v>510</v>
      </c>
      <c r="F172" s="292">
        <f ca="1">IF(E172="","",(VLOOKUP($D172,master_food_list,'Master Food List'!O$91,FALSE)))</f>
        <v>42</v>
      </c>
      <c r="G172" s="292">
        <f ca="1">IF(F172="","",(VLOOKUP($D172,master_food_list,'Master Food List'!P$91,FALSE)))</f>
        <v>10.5</v>
      </c>
      <c r="H172" s="292">
        <f ca="1">IF(G172="","",(VLOOKUP($D172,master_food_list,'Master Food List'!Q$91,FALSE)))</f>
        <v>33</v>
      </c>
      <c r="I172" s="292">
        <f ca="1">IF(H172="","",(VLOOKUP($D172,master_food_list,'Master Food List'!R$91,FALSE)))</f>
        <v>75</v>
      </c>
      <c r="J172" s="292">
        <f ca="1">IF(I172="","",(VLOOKUP($D172,master_food_list,'Master Food List'!S$91,FALSE)))</f>
        <v>0</v>
      </c>
      <c r="K172" s="292">
        <f ca="1">IF(J172="","",(VLOOKUP($D172,master_food_list,'Master Food List'!T$91,FALSE)))</f>
        <v>170</v>
      </c>
    </row>
    <row r="173" spans="1:11" s="189" customFormat="1" ht="51" x14ac:dyDescent="0.2">
      <c r="A173" s="282">
        <v>23</v>
      </c>
      <c r="B173" s="283" t="s">
        <v>456</v>
      </c>
      <c r="C173" s="283" t="s">
        <v>458</v>
      </c>
      <c r="D173" s="284" t="s">
        <v>409</v>
      </c>
      <c r="E173" s="292">
        <f ca="1">IF(D173="","",(VLOOKUP($D173,master_food_list,'Master Food List'!N$91,FALSE)))</f>
        <v>480</v>
      </c>
      <c r="F173" s="292">
        <f ca="1">IF(E173="","",(VLOOKUP($D173,master_food_list,'Master Food List'!O$91,FALSE)))</f>
        <v>84</v>
      </c>
      <c r="G173" s="292">
        <f ca="1">IF(F173="","",(VLOOKUP($D173,master_food_list,'Master Food List'!P$91,FALSE)))</f>
        <v>30</v>
      </c>
      <c r="H173" s="292">
        <f ca="1">IF(G173="","",(VLOOKUP($D173,master_food_list,'Master Food List'!Q$91,FALSE)))</f>
        <v>3</v>
      </c>
      <c r="I173" s="292">
        <f ca="1">IF(H173="","",(VLOOKUP($D173,master_food_list,'Master Food List'!R$91,FALSE)))</f>
        <v>1530</v>
      </c>
      <c r="J173" s="292">
        <f ca="1">IF(I173="","",(VLOOKUP($D173,master_food_list,'Master Food List'!S$91,FALSE)))</f>
        <v>0</v>
      </c>
      <c r="K173" s="292">
        <f ca="1">IF(J173="","",(VLOOKUP($D173,master_food_list,'Master Food List'!T$91,FALSE)))</f>
        <v>101.93905817174515</v>
      </c>
    </row>
    <row r="174" spans="1:11" s="189" customFormat="1" ht="51" x14ac:dyDescent="0.2">
      <c r="A174" s="282">
        <v>23</v>
      </c>
      <c r="B174" s="283" t="s">
        <v>456</v>
      </c>
      <c r="C174" s="283" t="s">
        <v>457</v>
      </c>
      <c r="D174" s="284" t="s">
        <v>479</v>
      </c>
      <c r="E174" s="292">
        <f ca="1">IF(D174="","",(VLOOKUP($D174,master_food_list,'Master Food List'!N$91,FALSE)))</f>
        <v>300</v>
      </c>
      <c r="F174" s="292">
        <f ca="1">IF(E174="","",(VLOOKUP($D174,master_food_list,'Master Food List'!O$91,FALSE)))</f>
        <v>10.5</v>
      </c>
      <c r="G174" s="292">
        <f ca="1">IF(F174="","",(VLOOKUP($D174,master_food_list,'Master Food List'!P$91,FALSE)))</f>
        <v>10.5</v>
      </c>
      <c r="H174" s="292">
        <f ca="1">IF(G174="","",(VLOOKUP($D174,master_food_list,'Master Food List'!Q$91,FALSE)))</f>
        <v>25.5</v>
      </c>
      <c r="I174" s="292">
        <f ca="1">IF(H174="","",(VLOOKUP($D174,master_food_list,'Master Food List'!R$91,FALSE)))</f>
        <v>150</v>
      </c>
      <c r="J174" s="292">
        <f ca="1">IF(I174="","",(VLOOKUP($D174,master_food_list,'Master Food List'!S$91,FALSE)))</f>
        <v>0</v>
      </c>
      <c r="K174" s="292">
        <f ca="1">IF(J174="","",(VLOOKUP($D174,master_food_list,'Master Food List'!T$91,FALSE)))</f>
        <v>177.77777777777777</v>
      </c>
    </row>
    <row r="175" spans="1:11" s="189" customFormat="1" ht="51" x14ac:dyDescent="0.2">
      <c r="A175" s="282">
        <v>23</v>
      </c>
      <c r="B175" s="283" t="s">
        <v>456</v>
      </c>
      <c r="C175" s="283" t="s">
        <v>455</v>
      </c>
      <c r="D175" s="284" t="s">
        <v>483</v>
      </c>
      <c r="E175" s="292">
        <f ca="1">IF(D175="","",(VLOOKUP($D175,master_food_list,'Master Food List'!N$91,FALSE)))</f>
        <v>200</v>
      </c>
      <c r="F175" s="292">
        <f ca="1">IF(E175="","",(VLOOKUP($D175,master_food_list,'Master Food List'!O$91,FALSE)))</f>
        <v>31</v>
      </c>
      <c r="G175" s="292">
        <f ca="1">IF(F175="","",(VLOOKUP($D175,master_food_list,'Master Food List'!P$91,FALSE)))</f>
        <v>2</v>
      </c>
      <c r="H175" s="292">
        <f ca="1">IF(G175="","",(VLOOKUP($D175,master_food_list,'Master Food List'!Q$91,FALSE)))</f>
        <v>8</v>
      </c>
      <c r="I175" s="292">
        <f ca="1">IF(H175="","",(VLOOKUP($D175,master_food_list,'Master Food List'!R$91,FALSE)))</f>
        <v>30</v>
      </c>
      <c r="J175" s="292">
        <f ca="1">IF(I175="","",(VLOOKUP($D175,master_food_list,'Master Food List'!S$91,FALSE)))</f>
        <v>0</v>
      </c>
      <c r="K175" s="292">
        <f ca="1">IF(J175="","",(VLOOKUP($D175,master_food_list,'Master Food List'!T$91,FALSE)))</f>
        <v>133.33333333333334</v>
      </c>
    </row>
    <row r="176" spans="1:11" customFormat="1" ht="51" x14ac:dyDescent="0.2">
      <c r="A176" s="286">
        <v>24</v>
      </c>
      <c r="B176" s="287" t="s">
        <v>456</v>
      </c>
      <c r="C176" s="287" t="s">
        <v>462</v>
      </c>
      <c r="D176" s="288" t="s">
        <v>480</v>
      </c>
      <c r="E176" s="293">
        <f ca="1">IF(D176="","",(VLOOKUP($D176,master_food_list,'Master Food List'!N$91,FALSE)))</f>
        <v>620</v>
      </c>
      <c r="F176" s="293">
        <f ca="1">IF(E176="","",(VLOOKUP($D176,master_food_list,'Master Food List'!O$91,FALSE)))</f>
        <v>74</v>
      </c>
      <c r="G176" s="293">
        <f ca="1">IF(F176="","",(VLOOKUP($D176,master_food_list,'Master Food List'!P$91,FALSE)))</f>
        <v>16</v>
      </c>
      <c r="H176" s="293">
        <f ca="1">IF(G176="","",(VLOOKUP($D176,master_food_list,'Master Food List'!Q$91,FALSE)))</f>
        <v>31</v>
      </c>
      <c r="I176" s="293">
        <f ca="1">IF(H176="","",(VLOOKUP($D176,master_food_list,'Master Food List'!R$91,FALSE)))</f>
        <v>280</v>
      </c>
      <c r="J176" s="293">
        <f ca="1">IF(I176="","",(VLOOKUP($D176,master_food_list,'Master Food List'!S$91,FALSE)))</f>
        <v>0</v>
      </c>
      <c r="K176" s="293">
        <f ca="1">IF(J176="","",(VLOOKUP($D176,master_food_list,'Master Food List'!T$91,FALSE)))</f>
        <v>130.52631578947367</v>
      </c>
    </row>
    <row r="177" spans="1:11" customFormat="1" ht="51" x14ac:dyDescent="0.2">
      <c r="A177" s="286">
        <v>24</v>
      </c>
      <c r="B177" s="287" t="s">
        <v>456</v>
      </c>
      <c r="C177" s="287" t="s">
        <v>461</v>
      </c>
      <c r="D177" s="288" t="s">
        <v>427</v>
      </c>
      <c r="E177" s="293">
        <f ca="1">IF(D177="","",(VLOOKUP($D177,master_food_list,'Master Food List'!N$91,FALSE)))</f>
        <v>300</v>
      </c>
      <c r="F177" s="293">
        <f ca="1">IF(E177="","",(VLOOKUP($D177,master_food_list,'Master Food List'!O$91,FALSE)))</f>
        <v>24</v>
      </c>
      <c r="G177" s="293">
        <f ca="1">IF(F177="","",(VLOOKUP($D177,master_food_list,'Master Food List'!P$91,FALSE)))</f>
        <v>8</v>
      </c>
      <c r="H177" s="293">
        <f ca="1">IF(G177="","",(VLOOKUP($D177,master_food_list,'Master Food List'!Q$91,FALSE)))</f>
        <v>20</v>
      </c>
      <c r="I177" s="293">
        <f ca="1">IF(H177="","",(VLOOKUP($D177,master_food_list,'Master Food List'!R$91,FALSE)))</f>
        <v>120</v>
      </c>
      <c r="J177" s="293">
        <f ca="1">IF(I177="","",(VLOOKUP($D177,master_food_list,'Master Food List'!S$91,FALSE)))</f>
        <v>0</v>
      </c>
      <c r="K177" s="293">
        <f ca="1">IF(J177="","",(VLOOKUP($D177,master_food_list,'Master Food List'!T$91,FALSE)))</f>
        <v>150</v>
      </c>
    </row>
    <row r="178" spans="1:11" customFormat="1" ht="51" x14ac:dyDescent="0.2">
      <c r="A178" s="286">
        <v>24</v>
      </c>
      <c r="B178" s="287" t="s">
        <v>456</v>
      </c>
      <c r="C178" s="287" t="s">
        <v>460</v>
      </c>
      <c r="D178" s="288"/>
      <c r="E178" s="293" t="str">
        <f>IF(D178="","",(VLOOKUP($D178,master_food_list,'Master Food List'!N$91,FALSE)))</f>
        <v/>
      </c>
      <c r="F178" s="293" t="str">
        <f>IF(E178="","",(VLOOKUP($D178,master_food_list,'Master Food List'!O$91,FALSE)))</f>
        <v/>
      </c>
      <c r="G178" s="293" t="str">
        <f>IF(F178="","",(VLOOKUP($D178,master_food_list,'Master Food List'!P$91,FALSE)))</f>
        <v/>
      </c>
      <c r="H178" s="293" t="str">
        <f>IF(G178="","",(VLOOKUP($D178,master_food_list,'Master Food List'!Q$91,FALSE)))</f>
        <v/>
      </c>
      <c r="I178" s="293" t="str">
        <f>IF(H178="","",(VLOOKUP($D178,master_food_list,'Master Food List'!R$91,FALSE)))</f>
        <v/>
      </c>
      <c r="J178" s="293" t="str">
        <f>IF(I178="","",(VLOOKUP($D178,master_food_list,'Master Food List'!S$91,FALSE)))</f>
        <v/>
      </c>
      <c r="K178" s="293" t="str">
        <f>IF(J178="","",(VLOOKUP($D178,master_food_list,'Master Food List'!T$91,FALSE)))</f>
        <v/>
      </c>
    </row>
    <row r="179" spans="1:11" customFormat="1" ht="51" x14ac:dyDescent="0.2">
      <c r="A179" s="286">
        <v>24</v>
      </c>
      <c r="B179" s="287" t="s">
        <v>456</v>
      </c>
      <c r="C179" s="287" t="s">
        <v>459</v>
      </c>
      <c r="D179" s="288" t="s">
        <v>414</v>
      </c>
      <c r="E179" s="293">
        <f ca="1">IF(D179="","",(VLOOKUP($D179,master_food_list,'Master Food List'!N$91,FALSE)))</f>
        <v>250</v>
      </c>
      <c r="F179" s="293">
        <f ca="1">IF(E179="","",(VLOOKUP($D179,master_food_list,'Master Food List'!O$91,FALSE)))</f>
        <v>33</v>
      </c>
      <c r="G179" s="293">
        <f ca="1">IF(F179="","",(VLOOKUP($D179,master_food_list,'Master Food List'!P$91,FALSE)))</f>
        <v>4</v>
      </c>
      <c r="H179" s="293">
        <f ca="1">IF(G179="","",(VLOOKUP($D179,master_food_list,'Master Food List'!Q$91,FALSE)))</f>
        <v>12</v>
      </c>
      <c r="I179" s="293">
        <f ca="1">IF(H179="","",(VLOOKUP($D179,master_food_list,'Master Food List'!R$91,FALSE)))</f>
        <v>120</v>
      </c>
      <c r="J179" s="293">
        <f ca="1">IF(I179="","",(VLOOKUP($D179,master_food_list,'Master Food List'!S$91,FALSE)))</f>
        <v>0</v>
      </c>
      <c r="K179" s="293">
        <f ca="1">IF(J179="","",(VLOOKUP($D179,master_food_list,'Master Food List'!T$91,FALSE)))</f>
        <v>134.40860215053763</v>
      </c>
    </row>
    <row r="180" spans="1:11" customFormat="1" ht="51" x14ac:dyDescent="0.2">
      <c r="A180" s="286">
        <v>24</v>
      </c>
      <c r="B180" s="287" t="s">
        <v>456</v>
      </c>
      <c r="C180" s="287" t="s">
        <v>458</v>
      </c>
      <c r="D180" s="288" t="s">
        <v>491</v>
      </c>
      <c r="E180" s="293">
        <f ca="1">IF(D180="","",(VLOOKUP($D180,master_food_list,'Master Food List'!N$91,FALSE)))</f>
        <v>420</v>
      </c>
      <c r="F180" s="293">
        <f ca="1">IF(E180="","",(VLOOKUP($D180,master_food_list,'Master Food List'!O$91,FALSE)))</f>
        <v>44</v>
      </c>
      <c r="G180" s="293">
        <f ca="1">IF(F180="","",(VLOOKUP($D180,master_food_list,'Master Food List'!P$91,FALSE)))</f>
        <v>44</v>
      </c>
      <c r="H180" s="293">
        <f ca="1">IF(G180="","",(VLOOKUP($D180,master_food_list,'Master Food List'!Q$91,FALSE)))</f>
        <v>7</v>
      </c>
      <c r="I180" s="293">
        <f ca="1">IF(H180="","",(VLOOKUP($D180,master_food_list,'Master Food List'!R$91,FALSE)))</f>
        <v>1620</v>
      </c>
      <c r="J180" s="293">
        <f ca="1">IF(I180="","",(VLOOKUP($D180,master_food_list,'Master Food List'!S$91,FALSE)))</f>
        <v>0</v>
      </c>
      <c r="K180" s="293">
        <f ca="1">IF(J180="","",(VLOOKUP($D180,master_food_list,'Master Food List'!T$91,FALSE)))</f>
        <v>113.5135135135135</v>
      </c>
    </row>
    <row r="181" spans="1:11" customFormat="1" ht="51" x14ac:dyDescent="0.2">
      <c r="A181" s="286">
        <v>24</v>
      </c>
      <c r="B181" s="287" t="s">
        <v>456</v>
      </c>
      <c r="C181" s="287" t="s">
        <v>457</v>
      </c>
      <c r="D181" s="288" t="s">
        <v>479</v>
      </c>
      <c r="E181" s="293">
        <f ca="1">IF(D181="","",(VLOOKUP($D181,master_food_list,'Master Food List'!N$91,FALSE)))</f>
        <v>300</v>
      </c>
      <c r="F181" s="293">
        <f ca="1">IF(E181="","",(VLOOKUP($D181,master_food_list,'Master Food List'!O$91,FALSE)))</f>
        <v>10.5</v>
      </c>
      <c r="G181" s="293">
        <f ca="1">IF(F181="","",(VLOOKUP($D181,master_food_list,'Master Food List'!P$91,FALSE)))</f>
        <v>10.5</v>
      </c>
      <c r="H181" s="293">
        <f ca="1">IF(G181="","",(VLOOKUP($D181,master_food_list,'Master Food List'!Q$91,FALSE)))</f>
        <v>25.5</v>
      </c>
      <c r="I181" s="293">
        <f ca="1">IF(H181="","",(VLOOKUP($D181,master_food_list,'Master Food List'!R$91,FALSE)))</f>
        <v>150</v>
      </c>
      <c r="J181" s="293">
        <f ca="1">IF(I181="","",(VLOOKUP($D181,master_food_list,'Master Food List'!S$91,FALSE)))</f>
        <v>0</v>
      </c>
      <c r="K181" s="293">
        <f ca="1">IF(J181="","",(VLOOKUP($D181,master_food_list,'Master Food List'!T$91,FALSE)))</f>
        <v>177.77777777777777</v>
      </c>
    </row>
    <row r="182" spans="1:11" customFormat="1" ht="51" x14ac:dyDescent="0.2">
      <c r="A182" s="286">
        <v>24</v>
      </c>
      <c r="B182" s="287" t="s">
        <v>456</v>
      </c>
      <c r="C182" s="287" t="s">
        <v>455</v>
      </c>
      <c r="D182" s="288" t="s">
        <v>482</v>
      </c>
      <c r="E182" s="293">
        <f ca="1">IF(D182="","",(VLOOKUP($D182,master_food_list,'Master Food List'!N$91,FALSE)))</f>
        <v>110</v>
      </c>
      <c r="F182" s="293">
        <f ca="1">IF(E182="","",(VLOOKUP($D182,master_food_list,'Master Food List'!O$91,FALSE)))</f>
        <v>21</v>
      </c>
      <c r="G182" s="293">
        <f ca="1">IF(F182="","",(VLOOKUP($D182,master_food_list,'Master Food List'!P$91,FALSE)))</f>
        <v>1</v>
      </c>
      <c r="H182" s="293">
        <f ca="1">IF(G182="","",(VLOOKUP($D182,master_food_list,'Master Food List'!Q$91,FALSE)))</f>
        <v>2</v>
      </c>
      <c r="I182" s="293">
        <f ca="1">IF(H182="","",(VLOOKUP($D182,master_food_list,'Master Food List'!R$91,FALSE)))</f>
        <v>150</v>
      </c>
      <c r="J182" s="293">
        <f ca="1">IF(I182="","",(VLOOKUP($D182,master_food_list,'Master Food List'!S$91,FALSE)))</f>
        <v>0</v>
      </c>
      <c r="K182" s="293">
        <f ca="1">IF(J182="","",(VLOOKUP($D182,master_food_list,'Master Food List'!T$91,FALSE)))</f>
        <v>118.27956989247312</v>
      </c>
    </row>
    <row r="183" spans="1:11" customFormat="1" ht="51" x14ac:dyDescent="0.2">
      <c r="A183" s="286">
        <v>25</v>
      </c>
      <c r="B183" s="287" t="s">
        <v>456</v>
      </c>
      <c r="C183" s="287" t="s">
        <v>462</v>
      </c>
      <c r="D183" s="288" t="s">
        <v>485</v>
      </c>
      <c r="E183" s="293">
        <f ca="1">IF(D183="","",(VLOOKUP($D183,master_food_list,'Master Food List'!N$91,FALSE)))</f>
        <v>500</v>
      </c>
      <c r="F183" s="293">
        <f ca="1">IF(E183="","",(VLOOKUP($D183,master_food_list,'Master Food List'!O$91,FALSE)))</f>
        <v>74</v>
      </c>
      <c r="G183" s="293">
        <f ca="1">IF(F183="","",(VLOOKUP($D183,master_food_list,'Master Food List'!P$91,FALSE)))</f>
        <v>16</v>
      </c>
      <c r="H183" s="293">
        <f ca="1">IF(G183="","",(VLOOKUP($D183,master_food_list,'Master Food List'!Q$91,FALSE)))</f>
        <v>18</v>
      </c>
      <c r="I183" s="293">
        <f ca="1">IF(H183="","",(VLOOKUP($D183,master_food_list,'Master Food List'!R$91,FALSE)))</f>
        <v>130</v>
      </c>
      <c r="J183" s="293">
        <f ca="1">IF(I183="","",(VLOOKUP($D183,master_food_list,'Master Food List'!S$91,FALSE)))</f>
        <v>0</v>
      </c>
      <c r="K183" s="293">
        <f ca="1">IF(J183="","",(VLOOKUP($D183,master_food_list,'Master Food List'!T$91,FALSE)))</f>
        <v>126.55024044545685</v>
      </c>
    </row>
    <row r="184" spans="1:11" customFormat="1" ht="51" x14ac:dyDescent="0.2">
      <c r="A184" s="286">
        <v>25</v>
      </c>
      <c r="B184" s="287" t="s">
        <v>456</v>
      </c>
      <c r="C184" s="287" t="s">
        <v>461</v>
      </c>
      <c r="D184" s="288" t="s">
        <v>489</v>
      </c>
      <c r="E184" s="293">
        <f ca="1">IF(D184="","",(VLOOKUP($D184,master_food_list,'Master Food List'!N$91,FALSE)))</f>
        <v>200</v>
      </c>
      <c r="F184" s="293">
        <f ca="1">IF(E184="","",(VLOOKUP($D184,master_food_list,'Master Food List'!O$91,FALSE)))</f>
        <v>25</v>
      </c>
      <c r="G184" s="293">
        <f ca="1">IF(F184="","",(VLOOKUP($D184,master_food_list,'Master Food List'!P$91,FALSE)))</f>
        <v>22.5</v>
      </c>
      <c r="H184" s="293">
        <f ca="1">IF(G184="","",(VLOOKUP($D184,master_food_list,'Master Food List'!Q$91,FALSE)))</f>
        <v>1.25</v>
      </c>
      <c r="I184" s="293">
        <f ca="1">IF(H184="","",(VLOOKUP($D184,master_food_list,'Master Food List'!R$91,FALSE)))</f>
        <v>800</v>
      </c>
      <c r="J184" s="293">
        <f ca="1">IF(I184="","",(VLOOKUP($D184,master_food_list,'Master Food List'!S$91,FALSE)))</f>
        <v>0</v>
      </c>
      <c r="K184" s="293">
        <f ca="1">IF(J184="","",(VLOOKUP($D184,master_food_list,'Master Food List'!T$91,FALSE)))</f>
        <v>74.074074074074076</v>
      </c>
    </row>
    <row r="185" spans="1:11" customFormat="1" ht="51" x14ac:dyDescent="0.2">
      <c r="A185" s="286">
        <v>25</v>
      </c>
      <c r="B185" s="287" t="s">
        <v>456</v>
      </c>
      <c r="C185" s="287" t="s">
        <v>460</v>
      </c>
      <c r="D185" s="288"/>
      <c r="E185" s="293" t="str">
        <f>IF(D185="","",(VLOOKUP($D185,master_food_list,'Master Food List'!N$91,FALSE)))</f>
        <v/>
      </c>
      <c r="F185" s="293" t="str">
        <f>IF(E185="","",(VLOOKUP($D185,master_food_list,'Master Food List'!O$91,FALSE)))</f>
        <v/>
      </c>
      <c r="G185" s="293" t="str">
        <f>IF(F185="","",(VLOOKUP($D185,master_food_list,'Master Food List'!P$91,FALSE)))</f>
        <v/>
      </c>
      <c r="H185" s="293" t="str">
        <f>IF(G185="","",(VLOOKUP($D185,master_food_list,'Master Food List'!Q$91,FALSE)))</f>
        <v/>
      </c>
      <c r="I185" s="293" t="str">
        <f>IF(H185="","",(VLOOKUP($D185,master_food_list,'Master Food List'!R$91,FALSE)))</f>
        <v/>
      </c>
      <c r="J185" s="293" t="str">
        <f>IF(I185="","",(VLOOKUP($D185,master_food_list,'Master Food List'!S$91,FALSE)))</f>
        <v/>
      </c>
      <c r="K185" s="293" t="str">
        <f>IF(J185="","",(VLOOKUP($D185,master_food_list,'Master Food List'!T$91,FALSE)))</f>
        <v/>
      </c>
    </row>
    <row r="186" spans="1:11" customFormat="1" ht="51" x14ac:dyDescent="0.2">
      <c r="A186" s="286">
        <v>25</v>
      </c>
      <c r="B186" s="287" t="s">
        <v>456</v>
      </c>
      <c r="C186" s="287" t="s">
        <v>459</v>
      </c>
      <c r="D186" s="288" t="s">
        <v>433</v>
      </c>
      <c r="E186" s="293">
        <f ca="1">IF(D186="","",(VLOOKUP($D186,master_food_list,'Master Food List'!N$91,FALSE)))</f>
        <v>280</v>
      </c>
      <c r="F186" s="293">
        <f ca="1">IF(E186="","",(VLOOKUP($D186,master_food_list,'Master Food List'!O$91,FALSE)))</f>
        <v>34</v>
      </c>
      <c r="G186" s="293">
        <f ca="1">IF(F186="","",(VLOOKUP($D186,master_food_list,'Master Food List'!P$91,FALSE)))</f>
        <v>2</v>
      </c>
      <c r="H186" s="293">
        <f ca="1">IF(G186="","",(VLOOKUP($D186,master_food_list,'Master Food List'!Q$91,FALSE)))</f>
        <v>17</v>
      </c>
      <c r="I186" s="293">
        <f ca="1">IF(H186="","",(VLOOKUP($D186,master_food_list,'Master Food List'!R$91,FALSE)))</f>
        <v>0</v>
      </c>
      <c r="J186" s="293">
        <f ca="1">IF(I186="","",(VLOOKUP($D186,master_food_list,'Master Food List'!S$91,FALSE)))</f>
        <v>0</v>
      </c>
      <c r="K186" s="293">
        <f ca="1">IF(J186="","",(VLOOKUP($D186,master_food_list,'Master Food List'!T$91,FALSE)))</f>
        <v>140</v>
      </c>
    </row>
    <row r="187" spans="1:11" customFormat="1" ht="51" x14ac:dyDescent="0.2">
      <c r="A187" s="286">
        <v>25</v>
      </c>
      <c r="B187" s="287" t="s">
        <v>456</v>
      </c>
      <c r="C187" s="287" t="s">
        <v>458</v>
      </c>
      <c r="D187" s="288" t="s">
        <v>294</v>
      </c>
      <c r="E187" s="293">
        <f ca="1">IF(D187="","",(VLOOKUP($D187,master_food_list,'Master Food List'!N$91,FALSE)))</f>
        <v>960</v>
      </c>
      <c r="F187" s="293">
        <f ca="1">IF(E187="","",(VLOOKUP($D187,master_food_list,'Master Food List'!O$91,FALSE)))</f>
        <v>93</v>
      </c>
      <c r="G187" s="293">
        <f ca="1">IF(F187="","",(VLOOKUP($D187,master_food_list,'Master Food List'!P$91,FALSE)))</f>
        <v>39</v>
      </c>
      <c r="H187" s="293">
        <f ca="1">IF(G187="","",(VLOOKUP($D187,master_food_list,'Master Food List'!Q$91,FALSE)))</f>
        <v>45</v>
      </c>
      <c r="I187" s="293">
        <f ca="1">IF(H187="","",(VLOOKUP($D187,master_food_list,'Master Food List'!R$91,FALSE)))</f>
        <v>2040</v>
      </c>
      <c r="J187" s="293">
        <f ca="1">IF(I187="","",(VLOOKUP($D187,master_food_list,'Master Food List'!S$91,FALSE)))</f>
        <v>0</v>
      </c>
      <c r="K187" s="293">
        <f ca="1">IF(J187="","",(VLOOKUP($D187,master_food_list,'Master Food List'!T$91,FALSE)))</f>
        <v>141.03819784524975</v>
      </c>
    </row>
    <row r="188" spans="1:11" customFormat="1" ht="51" x14ac:dyDescent="0.2">
      <c r="A188" s="286">
        <v>25</v>
      </c>
      <c r="B188" s="287" t="s">
        <v>456</v>
      </c>
      <c r="C188" s="287" t="s">
        <v>457</v>
      </c>
      <c r="D188" s="288" t="s">
        <v>479</v>
      </c>
      <c r="E188" s="293">
        <f ca="1">IF(D188="","",(VLOOKUP($D188,master_food_list,'Master Food List'!N$91,FALSE)))</f>
        <v>300</v>
      </c>
      <c r="F188" s="293">
        <f ca="1">IF(E188="","",(VLOOKUP($D188,master_food_list,'Master Food List'!O$91,FALSE)))</f>
        <v>10.5</v>
      </c>
      <c r="G188" s="293">
        <f ca="1">IF(F188="","",(VLOOKUP($D188,master_food_list,'Master Food List'!P$91,FALSE)))</f>
        <v>10.5</v>
      </c>
      <c r="H188" s="293">
        <f ca="1">IF(G188="","",(VLOOKUP($D188,master_food_list,'Master Food List'!Q$91,FALSE)))</f>
        <v>25.5</v>
      </c>
      <c r="I188" s="293">
        <f ca="1">IF(H188="","",(VLOOKUP($D188,master_food_list,'Master Food List'!R$91,FALSE)))</f>
        <v>150</v>
      </c>
      <c r="J188" s="293">
        <f ca="1">IF(I188="","",(VLOOKUP($D188,master_food_list,'Master Food List'!S$91,FALSE)))</f>
        <v>0</v>
      </c>
      <c r="K188" s="293">
        <f ca="1">IF(J188="","",(VLOOKUP($D188,master_food_list,'Master Food List'!T$91,FALSE)))</f>
        <v>177.77777777777777</v>
      </c>
    </row>
    <row r="189" spans="1:11" customFormat="1" ht="51" x14ac:dyDescent="0.2">
      <c r="A189" s="286">
        <v>25</v>
      </c>
      <c r="B189" s="287" t="s">
        <v>456</v>
      </c>
      <c r="C189" s="287" t="s">
        <v>455</v>
      </c>
      <c r="D189" s="288" t="s">
        <v>482</v>
      </c>
      <c r="E189" s="293">
        <f ca="1">IF(D189="","",(VLOOKUP($D189,master_food_list,'Master Food List'!N$91,FALSE)))</f>
        <v>110</v>
      </c>
      <c r="F189" s="293">
        <f ca="1">IF(E189="","",(VLOOKUP($D189,master_food_list,'Master Food List'!O$91,FALSE)))</f>
        <v>21</v>
      </c>
      <c r="G189" s="293">
        <f ca="1">IF(F189="","",(VLOOKUP($D189,master_food_list,'Master Food List'!P$91,FALSE)))</f>
        <v>1</v>
      </c>
      <c r="H189" s="293">
        <f ca="1">IF(G189="","",(VLOOKUP($D189,master_food_list,'Master Food List'!Q$91,FALSE)))</f>
        <v>2</v>
      </c>
      <c r="I189" s="293">
        <f ca="1">IF(H189="","",(VLOOKUP($D189,master_food_list,'Master Food List'!R$91,FALSE)))</f>
        <v>150</v>
      </c>
      <c r="J189" s="293">
        <f ca="1">IF(I189="","",(VLOOKUP($D189,master_food_list,'Master Food List'!S$91,FALSE)))</f>
        <v>0</v>
      </c>
      <c r="K189" s="293">
        <f ca="1">IF(J189="","",(VLOOKUP($D189,master_food_list,'Master Food List'!T$91,FALSE)))</f>
        <v>118.27956989247312</v>
      </c>
    </row>
    <row r="190" spans="1:11" customFormat="1" ht="51" x14ac:dyDescent="0.2">
      <c r="A190" s="286">
        <v>26</v>
      </c>
      <c r="B190" s="287" t="s">
        <v>456</v>
      </c>
      <c r="C190" s="287" t="s">
        <v>462</v>
      </c>
      <c r="D190" s="288" t="s">
        <v>414</v>
      </c>
      <c r="E190" s="293">
        <f ca="1">IF(D190="","",(VLOOKUP($D190,master_food_list,'Master Food List'!N$91,FALSE)))</f>
        <v>250</v>
      </c>
      <c r="F190" s="293">
        <f ca="1">IF(E190="","",(VLOOKUP($D190,master_food_list,'Master Food List'!O$91,FALSE)))</f>
        <v>33</v>
      </c>
      <c r="G190" s="293">
        <f ca="1">IF(F190="","",(VLOOKUP($D190,master_food_list,'Master Food List'!P$91,FALSE)))</f>
        <v>4</v>
      </c>
      <c r="H190" s="293">
        <f ca="1">IF(G190="","",(VLOOKUP($D190,master_food_list,'Master Food List'!Q$91,FALSE)))</f>
        <v>12</v>
      </c>
      <c r="I190" s="293">
        <f ca="1">IF(H190="","",(VLOOKUP($D190,master_food_list,'Master Food List'!R$91,FALSE)))</f>
        <v>120</v>
      </c>
      <c r="J190" s="293">
        <f ca="1">IF(I190="","",(VLOOKUP($D190,master_food_list,'Master Food List'!S$91,FALSE)))</f>
        <v>0</v>
      </c>
      <c r="K190" s="293">
        <f ca="1">IF(J190="","",(VLOOKUP($D190,master_food_list,'Master Food List'!T$91,FALSE)))</f>
        <v>134.40860215053763</v>
      </c>
    </row>
    <row r="191" spans="1:11" customFormat="1" ht="51" x14ac:dyDescent="0.2">
      <c r="A191" s="286">
        <v>26</v>
      </c>
      <c r="B191" s="287" t="s">
        <v>456</v>
      </c>
      <c r="C191" s="287" t="s">
        <v>461</v>
      </c>
      <c r="D191" s="288" t="s">
        <v>427</v>
      </c>
      <c r="E191" s="293">
        <f ca="1">IF(D191="","",(VLOOKUP($D191,master_food_list,'Master Food List'!N$91,FALSE)))</f>
        <v>300</v>
      </c>
      <c r="F191" s="293">
        <f ca="1">IF(E191="","",(VLOOKUP($D191,master_food_list,'Master Food List'!O$91,FALSE)))</f>
        <v>24</v>
      </c>
      <c r="G191" s="293">
        <f ca="1">IF(F191="","",(VLOOKUP($D191,master_food_list,'Master Food List'!P$91,FALSE)))</f>
        <v>8</v>
      </c>
      <c r="H191" s="293">
        <f ca="1">IF(G191="","",(VLOOKUP($D191,master_food_list,'Master Food List'!Q$91,FALSE)))</f>
        <v>20</v>
      </c>
      <c r="I191" s="293">
        <f ca="1">IF(H191="","",(VLOOKUP($D191,master_food_list,'Master Food List'!R$91,FALSE)))</f>
        <v>120</v>
      </c>
      <c r="J191" s="293">
        <f ca="1">IF(I191="","",(VLOOKUP($D191,master_food_list,'Master Food List'!S$91,FALSE)))</f>
        <v>0</v>
      </c>
      <c r="K191" s="293">
        <f ca="1">IF(J191="","",(VLOOKUP($D191,master_food_list,'Master Food List'!T$91,FALSE)))</f>
        <v>150</v>
      </c>
    </row>
    <row r="192" spans="1:11" customFormat="1" ht="51" x14ac:dyDescent="0.2">
      <c r="A192" s="286">
        <v>26</v>
      </c>
      <c r="B192" s="287" t="s">
        <v>456</v>
      </c>
      <c r="C192" s="287" t="s">
        <v>460</v>
      </c>
      <c r="D192" s="288"/>
      <c r="E192" s="293" t="str">
        <f>IF(D192="","",(VLOOKUP($D192,master_food_list,'Master Food List'!N$91,FALSE)))</f>
        <v/>
      </c>
      <c r="F192" s="293" t="str">
        <f>IF(E192="","",(VLOOKUP($D192,master_food_list,'Master Food List'!O$91,FALSE)))</f>
        <v/>
      </c>
      <c r="G192" s="293" t="str">
        <f>IF(F192="","",(VLOOKUP($D192,master_food_list,'Master Food List'!P$91,FALSE)))</f>
        <v/>
      </c>
      <c r="H192" s="293" t="str">
        <f>IF(G192="","",(VLOOKUP($D192,master_food_list,'Master Food List'!Q$91,FALSE)))</f>
        <v/>
      </c>
      <c r="I192" s="293" t="str">
        <f>IF(H192="","",(VLOOKUP($D192,master_food_list,'Master Food List'!R$91,FALSE)))</f>
        <v/>
      </c>
      <c r="J192" s="293" t="str">
        <f>IF(I192="","",(VLOOKUP($D192,master_food_list,'Master Food List'!S$91,FALSE)))</f>
        <v/>
      </c>
      <c r="K192" s="293" t="str">
        <f>IF(J192="","",(VLOOKUP($D192,master_food_list,'Master Food List'!T$91,FALSE)))</f>
        <v/>
      </c>
    </row>
    <row r="193" spans="1:11" customFormat="1" ht="51" x14ac:dyDescent="0.2">
      <c r="A193" s="286">
        <v>26</v>
      </c>
      <c r="B193" s="287" t="s">
        <v>456</v>
      </c>
      <c r="C193" s="287" t="s">
        <v>459</v>
      </c>
      <c r="D193" s="288" t="s">
        <v>430</v>
      </c>
      <c r="E193" s="293">
        <f ca="1">IF(D193="","",(VLOOKUP($D193,master_food_list,'Master Food List'!N$91,FALSE)))</f>
        <v>510</v>
      </c>
      <c r="F193" s="293">
        <f ca="1">IF(E193="","",(VLOOKUP($D193,master_food_list,'Master Food List'!O$91,FALSE)))</f>
        <v>42</v>
      </c>
      <c r="G193" s="293">
        <f ca="1">IF(F193="","",(VLOOKUP($D193,master_food_list,'Master Food List'!P$91,FALSE)))</f>
        <v>10.5</v>
      </c>
      <c r="H193" s="293">
        <f ca="1">IF(G193="","",(VLOOKUP($D193,master_food_list,'Master Food List'!Q$91,FALSE)))</f>
        <v>33</v>
      </c>
      <c r="I193" s="293">
        <f ca="1">IF(H193="","",(VLOOKUP($D193,master_food_list,'Master Food List'!R$91,FALSE)))</f>
        <v>75</v>
      </c>
      <c r="J193" s="293">
        <f ca="1">IF(I193="","",(VLOOKUP($D193,master_food_list,'Master Food List'!S$91,FALSE)))</f>
        <v>0</v>
      </c>
      <c r="K193" s="293">
        <f ca="1">IF(J193="","",(VLOOKUP($D193,master_food_list,'Master Food List'!T$91,FALSE)))</f>
        <v>170</v>
      </c>
    </row>
    <row r="194" spans="1:11" customFormat="1" ht="51" x14ac:dyDescent="0.2">
      <c r="A194" s="286">
        <v>26</v>
      </c>
      <c r="B194" s="287" t="s">
        <v>456</v>
      </c>
      <c r="C194" s="287" t="s">
        <v>458</v>
      </c>
      <c r="D194" s="288" t="s">
        <v>492</v>
      </c>
      <c r="E194" s="293">
        <f ca="1">IF(D194="","",(VLOOKUP($D194,master_food_list,'Master Food List'!N$91,FALSE)))</f>
        <v>620</v>
      </c>
      <c r="F194" s="293">
        <f ca="1">IF(E194="","",(VLOOKUP($D194,master_food_list,'Master Food List'!O$91,FALSE)))</f>
        <v>90</v>
      </c>
      <c r="G194" s="293">
        <f ca="1">IF(F194="","",(VLOOKUP($D194,master_food_list,'Master Food List'!P$91,FALSE)))</f>
        <v>28</v>
      </c>
      <c r="H194" s="293">
        <f ca="1">IF(G194="","",(VLOOKUP($D194,master_food_list,'Master Food List'!Q$91,FALSE)))</f>
        <v>20</v>
      </c>
      <c r="I194" s="293">
        <f ca="1">IF(H194="","",(VLOOKUP($D194,master_food_list,'Master Food List'!R$91,FALSE)))</f>
        <v>1340</v>
      </c>
      <c r="J194" s="293">
        <f ca="1">IF(I194="","",(VLOOKUP($D194,master_food_list,'Master Food List'!S$91,FALSE)))</f>
        <v>0</v>
      </c>
      <c r="K194" s="293">
        <f ca="1">IF(J194="","",(VLOOKUP($D194,master_food_list,'Master Food List'!T$91,FALSE)))</f>
        <v>122.04724409448819</v>
      </c>
    </row>
    <row r="195" spans="1:11" customFormat="1" ht="51" x14ac:dyDescent="0.2">
      <c r="A195" s="286">
        <v>26</v>
      </c>
      <c r="B195" s="287" t="s">
        <v>456</v>
      </c>
      <c r="C195" s="287" t="s">
        <v>457</v>
      </c>
      <c r="D195" s="288" t="s">
        <v>479</v>
      </c>
      <c r="E195" s="293">
        <f ca="1">IF(D195="","",(VLOOKUP($D195,master_food_list,'Master Food List'!N$91,FALSE)))</f>
        <v>300</v>
      </c>
      <c r="F195" s="293">
        <f ca="1">IF(E195="","",(VLOOKUP($D195,master_food_list,'Master Food List'!O$91,FALSE)))</f>
        <v>10.5</v>
      </c>
      <c r="G195" s="293">
        <f ca="1">IF(F195="","",(VLOOKUP($D195,master_food_list,'Master Food List'!P$91,FALSE)))</f>
        <v>10.5</v>
      </c>
      <c r="H195" s="293">
        <f ca="1">IF(G195="","",(VLOOKUP($D195,master_food_list,'Master Food List'!Q$91,FALSE)))</f>
        <v>25.5</v>
      </c>
      <c r="I195" s="293">
        <f ca="1">IF(H195="","",(VLOOKUP($D195,master_food_list,'Master Food List'!R$91,FALSE)))</f>
        <v>150</v>
      </c>
      <c r="J195" s="293">
        <f ca="1">IF(I195="","",(VLOOKUP($D195,master_food_list,'Master Food List'!S$91,FALSE)))</f>
        <v>0</v>
      </c>
      <c r="K195" s="293">
        <f ca="1">IF(J195="","",(VLOOKUP($D195,master_food_list,'Master Food List'!T$91,FALSE)))</f>
        <v>177.77777777777777</v>
      </c>
    </row>
    <row r="196" spans="1:11" customFormat="1" ht="51" x14ac:dyDescent="0.2">
      <c r="A196" s="286">
        <v>26</v>
      </c>
      <c r="B196" s="287" t="s">
        <v>456</v>
      </c>
      <c r="C196" s="287" t="s">
        <v>455</v>
      </c>
      <c r="D196" s="288" t="s">
        <v>478</v>
      </c>
      <c r="E196" s="293">
        <f ca="1">IF(D196="","",(VLOOKUP($D196,master_food_list,'Master Food List'!N$91,FALSE)))</f>
        <v>540</v>
      </c>
      <c r="F196" s="293">
        <f ca="1">IF(E196="","",(VLOOKUP($D196,master_food_list,'Master Food List'!O$91,FALSE)))</f>
        <v>105</v>
      </c>
      <c r="G196" s="293">
        <f ca="1">IF(F196="","",(VLOOKUP($D196,master_food_list,'Master Food List'!P$91,FALSE)))</f>
        <v>6</v>
      </c>
      <c r="H196" s="293">
        <f ca="1">IF(G196="","",(VLOOKUP($D196,master_food_list,'Master Food List'!Q$91,FALSE)))</f>
        <v>12</v>
      </c>
      <c r="I196" s="293">
        <f ca="1">IF(H196="","",(VLOOKUP($D196,master_food_list,'Master Food List'!R$91,FALSE)))</f>
        <v>240</v>
      </c>
      <c r="J196" s="293">
        <f ca="1">IF(I196="","",(VLOOKUP($D196,master_food_list,'Master Food List'!S$91,FALSE)))</f>
        <v>0</v>
      </c>
      <c r="K196" s="293">
        <f ca="1">IF(J196="","",(VLOOKUP($D196,master_food_list,'Master Food List'!T$91,FALSE)))</f>
        <v>117.64705882352942</v>
      </c>
    </row>
    <row r="197" spans="1:11" customFormat="1" ht="51" x14ac:dyDescent="0.2">
      <c r="A197" s="286">
        <v>27</v>
      </c>
      <c r="B197" s="287" t="s">
        <v>456</v>
      </c>
      <c r="C197" s="287" t="s">
        <v>462</v>
      </c>
      <c r="D197" s="288" t="s">
        <v>480</v>
      </c>
      <c r="E197" s="293">
        <f ca="1">IF(D197="","",(VLOOKUP($D197,master_food_list,'Master Food List'!N$91,FALSE)))</f>
        <v>620</v>
      </c>
      <c r="F197" s="293">
        <f ca="1">IF(E197="","",(VLOOKUP($D197,master_food_list,'Master Food List'!O$91,FALSE)))</f>
        <v>74</v>
      </c>
      <c r="G197" s="293">
        <f ca="1">IF(F197="","",(VLOOKUP($D197,master_food_list,'Master Food List'!P$91,FALSE)))</f>
        <v>16</v>
      </c>
      <c r="H197" s="293">
        <f ca="1">IF(G197="","",(VLOOKUP($D197,master_food_list,'Master Food List'!Q$91,FALSE)))</f>
        <v>31</v>
      </c>
      <c r="I197" s="293">
        <f ca="1">IF(H197="","",(VLOOKUP($D197,master_food_list,'Master Food List'!R$91,FALSE)))</f>
        <v>280</v>
      </c>
      <c r="J197" s="293">
        <f ca="1">IF(I197="","",(VLOOKUP($D197,master_food_list,'Master Food List'!S$91,FALSE)))</f>
        <v>0</v>
      </c>
      <c r="K197" s="293">
        <f ca="1">IF(J197="","",(VLOOKUP($D197,master_food_list,'Master Food List'!T$91,FALSE)))</f>
        <v>130.52631578947367</v>
      </c>
    </row>
    <row r="198" spans="1:11" customFormat="1" ht="51" x14ac:dyDescent="0.2">
      <c r="A198" s="286">
        <v>27</v>
      </c>
      <c r="B198" s="287" t="s">
        <v>456</v>
      </c>
      <c r="C198" s="287" t="s">
        <v>461</v>
      </c>
      <c r="D198" s="288" t="s">
        <v>327</v>
      </c>
      <c r="E198" s="293">
        <f ca="1">IF(D198="","",(VLOOKUP($D198,master_food_list,'Master Food List'!N$91,FALSE)))</f>
        <v>130</v>
      </c>
      <c r="F198" s="293">
        <f ca="1">IF(E198="","",(VLOOKUP($D198,master_food_list,'Master Food List'!O$91,FALSE)))</f>
        <v>8</v>
      </c>
      <c r="G198" s="293">
        <f ca="1">IF(F198="","",(VLOOKUP($D198,master_food_list,'Master Food List'!P$91,FALSE)))</f>
        <v>7</v>
      </c>
      <c r="H198" s="293">
        <f ca="1">IF(G198="","",(VLOOKUP($D198,master_food_list,'Master Food List'!Q$91,FALSE)))</f>
        <v>8</v>
      </c>
      <c r="I198" s="293">
        <f ca="1">IF(H198="","",(VLOOKUP($D198,master_food_list,'Master Food List'!R$91,FALSE)))</f>
        <v>320</v>
      </c>
      <c r="J198" s="293">
        <f ca="1">IF(I198="","",(VLOOKUP($D198,master_food_list,'Master Food List'!S$91,FALSE)))</f>
        <v>0</v>
      </c>
      <c r="K198" s="293">
        <f ca="1">IF(J198="","",(VLOOKUP($D198,master_food_list,'Master Food List'!T$91,FALSE)))</f>
        <v>99.999999999999986</v>
      </c>
    </row>
    <row r="199" spans="1:11" customFormat="1" ht="51" x14ac:dyDescent="0.2">
      <c r="A199" s="286">
        <v>27</v>
      </c>
      <c r="B199" s="287" t="s">
        <v>456</v>
      </c>
      <c r="C199" s="287" t="s">
        <v>460</v>
      </c>
      <c r="D199" s="288"/>
      <c r="E199" s="293" t="str">
        <f>IF(D199="","",(VLOOKUP($D199,master_food_list,'Master Food List'!N$91,FALSE)))</f>
        <v/>
      </c>
      <c r="F199" s="293" t="str">
        <f>IF(E199="","",(VLOOKUP($D199,master_food_list,'Master Food List'!O$91,FALSE)))</f>
        <v/>
      </c>
      <c r="G199" s="293" t="str">
        <f>IF(F199="","",(VLOOKUP($D199,master_food_list,'Master Food List'!P$91,FALSE)))</f>
        <v/>
      </c>
      <c r="H199" s="293" t="str">
        <f>IF(G199="","",(VLOOKUP($D199,master_food_list,'Master Food List'!Q$91,FALSE)))</f>
        <v/>
      </c>
      <c r="I199" s="293" t="str">
        <f>IF(H199="","",(VLOOKUP($D199,master_food_list,'Master Food List'!R$91,FALSE)))</f>
        <v/>
      </c>
      <c r="J199" s="293" t="str">
        <f>IF(I199="","",(VLOOKUP($D199,master_food_list,'Master Food List'!S$91,FALSE)))</f>
        <v/>
      </c>
      <c r="K199" s="293" t="str">
        <f>IF(J199="","",(VLOOKUP($D199,master_food_list,'Master Food List'!T$91,FALSE)))</f>
        <v/>
      </c>
    </row>
    <row r="200" spans="1:11" customFormat="1" ht="51" x14ac:dyDescent="0.2">
      <c r="A200" s="286">
        <v>27</v>
      </c>
      <c r="B200" s="287" t="s">
        <v>456</v>
      </c>
      <c r="C200" s="287" t="s">
        <v>459</v>
      </c>
      <c r="D200" s="288" t="s">
        <v>397</v>
      </c>
      <c r="E200" s="293">
        <f ca="1">IF(D200="","",(VLOOKUP($D200,master_food_list,'Master Food List'!N$91,FALSE)))</f>
        <v>280</v>
      </c>
      <c r="F200" s="293">
        <f ca="1">IF(E200="","",(VLOOKUP($D200,master_food_list,'Master Food List'!O$91,FALSE)))</f>
        <v>29</v>
      </c>
      <c r="G200" s="293">
        <f ca="1">IF(F200="","",(VLOOKUP($D200,master_food_list,'Master Food List'!P$91,FALSE)))</f>
        <v>20</v>
      </c>
      <c r="H200" s="293">
        <f ca="1">IF(G200="","",(VLOOKUP($D200,master_food_list,'Master Food List'!Q$91,FALSE)))</f>
        <v>10</v>
      </c>
      <c r="I200" s="293">
        <f ca="1">IF(H200="","",(VLOOKUP($D200,master_food_list,'Master Food List'!R$91,FALSE)))</f>
        <v>360</v>
      </c>
      <c r="J200" s="293">
        <f ca="1">IF(I200="","",(VLOOKUP($D200,master_food_list,'Master Food List'!S$91,FALSE)))</f>
        <v>0</v>
      </c>
      <c r="K200" s="293">
        <f ca="1">IF(J200="","",(VLOOKUP($D200,master_food_list,'Master Food List'!T$91,FALSE)))</f>
        <v>116.66666666666667</v>
      </c>
    </row>
    <row r="201" spans="1:11" customFormat="1" ht="51" x14ac:dyDescent="0.2">
      <c r="A201" s="286">
        <v>27</v>
      </c>
      <c r="B201" s="287" t="s">
        <v>456</v>
      </c>
      <c r="C201" s="287" t="s">
        <v>458</v>
      </c>
      <c r="D201" s="288" t="s">
        <v>449</v>
      </c>
      <c r="E201" s="293">
        <f ca="1">IF(D201="","",(VLOOKUP($D201,master_food_list,'Master Food List'!N$91,FALSE)))</f>
        <v>520</v>
      </c>
      <c r="F201" s="293">
        <f ca="1">IF(E201="","",(VLOOKUP($D201,master_food_list,'Master Food List'!O$91,FALSE)))</f>
        <v>104</v>
      </c>
      <c r="G201" s="293">
        <f ca="1">IF(F201="","",(VLOOKUP($D201,master_food_list,'Master Food List'!P$91,FALSE)))</f>
        <v>22</v>
      </c>
      <c r="H201" s="293">
        <f ca="1">IF(G201="","",(VLOOKUP($D201,master_food_list,'Master Food List'!Q$91,FALSE)))</f>
        <v>6</v>
      </c>
      <c r="I201" s="293">
        <f ca="1">IF(H201="","",(VLOOKUP($D201,master_food_list,'Master Food List'!R$91,FALSE)))</f>
        <v>1360</v>
      </c>
      <c r="J201" s="293">
        <f ca="1">IF(I201="","",(VLOOKUP($D201,master_food_list,'Master Food List'!S$91,FALSE)))</f>
        <v>0</v>
      </c>
      <c r="K201" s="293">
        <f ca="1">IF(J201="","",(VLOOKUP($D201,master_food_list,'Master Food List'!T$91,FALSE)))</f>
        <v>92.857142857142861</v>
      </c>
    </row>
    <row r="202" spans="1:11" customFormat="1" ht="51" x14ac:dyDescent="0.2">
      <c r="A202" s="286">
        <v>27</v>
      </c>
      <c r="B202" s="287" t="s">
        <v>456</v>
      </c>
      <c r="C202" s="287" t="s">
        <v>457</v>
      </c>
      <c r="D202" s="288" t="s">
        <v>479</v>
      </c>
      <c r="E202" s="293">
        <f ca="1">IF(D202="","",(VLOOKUP($D202,master_food_list,'Master Food List'!N$91,FALSE)))</f>
        <v>300</v>
      </c>
      <c r="F202" s="293">
        <f ca="1">IF(E202="","",(VLOOKUP($D202,master_food_list,'Master Food List'!O$91,FALSE)))</f>
        <v>10.5</v>
      </c>
      <c r="G202" s="293">
        <f ca="1">IF(F202="","",(VLOOKUP($D202,master_food_list,'Master Food List'!P$91,FALSE)))</f>
        <v>10.5</v>
      </c>
      <c r="H202" s="293">
        <f ca="1">IF(G202="","",(VLOOKUP($D202,master_food_list,'Master Food List'!Q$91,FALSE)))</f>
        <v>25.5</v>
      </c>
      <c r="I202" s="293">
        <f ca="1">IF(H202="","",(VLOOKUP($D202,master_food_list,'Master Food List'!R$91,FALSE)))</f>
        <v>150</v>
      </c>
      <c r="J202" s="293">
        <f ca="1">IF(I202="","",(VLOOKUP($D202,master_food_list,'Master Food List'!S$91,FALSE)))</f>
        <v>0</v>
      </c>
      <c r="K202" s="293">
        <f ca="1">IF(J202="","",(VLOOKUP($D202,master_food_list,'Master Food List'!T$91,FALSE)))</f>
        <v>177.77777777777777</v>
      </c>
    </row>
    <row r="203" spans="1:11" customFormat="1" ht="51" x14ac:dyDescent="0.2">
      <c r="A203" s="286">
        <v>27</v>
      </c>
      <c r="B203" s="287" t="s">
        <v>456</v>
      </c>
      <c r="C203" s="287" t="s">
        <v>455</v>
      </c>
      <c r="D203" s="288" t="s">
        <v>482</v>
      </c>
      <c r="E203" s="293">
        <f ca="1">IF(D203="","",(VLOOKUP($D203,master_food_list,'Master Food List'!N$91,FALSE)))</f>
        <v>110</v>
      </c>
      <c r="F203" s="293">
        <f ca="1">IF(E203="","",(VLOOKUP($D203,master_food_list,'Master Food List'!O$91,FALSE)))</f>
        <v>21</v>
      </c>
      <c r="G203" s="293">
        <f ca="1">IF(F203="","",(VLOOKUP($D203,master_food_list,'Master Food List'!P$91,FALSE)))</f>
        <v>1</v>
      </c>
      <c r="H203" s="293">
        <f ca="1">IF(G203="","",(VLOOKUP($D203,master_food_list,'Master Food List'!Q$91,FALSE)))</f>
        <v>2</v>
      </c>
      <c r="I203" s="293">
        <f ca="1">IF(H203="","",(VLOOKUP($D203,master_food_list,'Master Food List'!R$91,FALSE)))</f>
        <v>150</v>
      </c>
      <c r="J203" s="293">
        <f ca="1">IF(I203="","",(VLOOKUP($D203,master_food_list,'Master Food List'!S$91,FALSE)))</f>
        <v>0</v>
      </c>
      <c r="K203" s="293">
        <f ca="1">IF(J203="","",(VLOOKUP($D203,master_food_list,'Master Food List'!T$91,FALSE)))</f>
        <v>118.27956989247312</v>
      </c>
    </row>
    <row r="204" spans="1:11" customFormat="1" ht="51" x14ac:dyDescent="0.2">
      <c r="A204" s="286">
        <v>28</v>
      </c>
      <c r="B204" s="287" t="s">
        <v>456</v>
      </c>
      <c r="C204" s="287" t="s">
        <v>462</v>
      </c>
      <c r="D204" s="288" t="s">
        <v>414</v>
      </c>
      <c r="E204" s="293">
        <f ca="1">IF(D204="","",(VLOOKUP($D204,master_food_list,'Master Food List'!N$91,FALSE)))</f>
        <v>250</v>
      </c>
      <c r="F204" s="293">
        <f ca="1">IF(E204="","",(VLOOKUP($D204,master_food_list,'Master Food List'!O$91,FALSE)))</f>
        <v>33</v>
      </c>
      <c r="G204" s="293">
        <f ca="1">IF(F204="","",(VLOOKUP($D204,master_food_list,'Master Food List'!P$91,FALSE)))</f>
        <v>4</v>
      </c>
      <c r="H204" s="293">
        <f ca="1">IF(G204="","",(VLOOKUP($D204,master_food_list,'Master Food List'!Q$91,FALSE)))</f>
        <v>12</v>
      </c>
      <c r="I204" s="293">
        <f ca="1">IF(H204="","",(VLOOKUP($D204,master_food_list,'Master Food List'!R$91,FALSE)))</f>
        <v>120</v>
      </c>
      <c r="J204" s="293">
        <f ca="1">IF(I204="","",(VLOOKUP($D204,master_food_list,'Master Food List'!S$91,FALSE)))</f>
        <v>0</v>
      </c>
      <c r="K204" s="293">
        <f ca="1">IF(J204="","",(VLOOKUP($D204,master_food_list,'Master Food List'!T$91,FALSE)))</f>
        <v>134.40860215053763</v>
      </c>
    </row>
    <row r="205" spans="1:11" customFormat="1" ht="51" x14ac:dyDescent="0.2">
      <c r="A205" s="286">
        <v>28</v>
      </c>
      <c r="B205" s="287" t="s">
        <v>456</v>
      </c>
      <c r="C205" s="287" t="s">
        <v>461</v>
      </c>
      <c r="D205" s="288" t="s">
        <v>354</v>
      </c>
      <c r="E205" s="293">
        <f ca="1">IF(D205="","",(VLOOKUP($D205,master_food_list,'Master Food List'!N$91,FALSE)))</f>
        <v>270</v>
      </c>
      <c r="F205" s="293">
        <f ca="1">IF(E205="","",(VLOOKUP($D205,master_food_list,'Master Food List'!O$91,FALSE)))</f>
        <v>72</v>
      </c>
      <c r="G205" s="293">
        <f ca="1">IF(F205="","",(VLOOKUP($D205,master_food_list,'Master Food List'!P$91,FALSE)))</f>
        <v>3</v>
      </c>
      <c r="H205" s="293">
        <f ca="1">IF(G205="","",(VLOOKUP($D205,master_food_list,'Master Food List'!Q$91,FALSE)))</f>
        <v>0</v>
      </c>
      <c r="I205" s="293">
        <f ca="1">IF(H205="","",(VLOOKUP($D205,master_food_list,'Master Food List'!R$91,FALSE)))</f>
        <v>0</v>
      </c>
      <c r="J205" s="293">
        <f ca="1">IF(I205="","",(VLOOKUP($D205,master_food_list,'Master Food List'!S$91,FALSE)))</f>
        <v>0</v>
      </c>
      <c r="K205" s="293">
        <f ca="1">IF(J205="","",(VLOOKUP($D205,master_food_list,'Master Food List'!T$91,FALSE)))</f>
        <v>112.5</v>
      </c>
    </row>
    <row r="206" spans="1:11" customFormat="1" ht="51" x14ac:dyDescent="0.2">
      <c r="A206" s="286">
        <v>28</v>
      </c>
      <c r="B206" s="287" t="s">
        <v>456</v>
      </c>
      <c r="C206" s="287" t="s">
        <v>460</v>
      </c>
      <c r="D206" s="288"/>
      <c r="E206" s="293" t="str">
        <f>IF(D206="","",(VLOOKUP($D206,master_food_list,'Master Food List'!N$91,FALSE)))</f>
        <v/>
      </c>
      <c r="F206" s="293" t="str">
        <f>IF(E206="","",(VLOOKUP($D206,master_food_list,'Master Food List'!O$91,FALSE)))</f>
        <v/>
      </c>
      <c r="G206" s="293" t="str">
        <f>IF(F206="","",(VLOOKUP($D206,master_food_list,'Master Food List'!P$91,FALSE)))</f>
        <v/>
      </c>
      <c r="H206" s="293" t="str">
        <f>IF(G206="","",(VLOOKUP($D206,master_food_list,'Master Food List'!Q$91,FALSE)))</f>
        <v/>
      </c>
      <c r="I206" s="293" t="str">
        <f>IF(H206="","",(VLOOKUP($D206,master_food_list,'Master Food List'!R$91,FALSE)))</f>
        <v/>
      </c>
      <c r="J206" s="293" t="str">
        <f>IF(I206="","",(VLOOKUP($D206,master_food_list,'Master Food List'!S$91,FALSE)))</f>
        <v/>
      </c>
      <c r="K206" s="293" t="str">
        <f>IF(J206="","",(VLOOKUP($D206,master_food_list,'Master Food List'!T$91,FALSE)))</f>
        <v/>
      </c>
    </row>
    <row r="207" spans="1:11" customFormat="1" ht="51" x14ac:dyDescent="0.2">
      <c r="A207" s="286">
        <v>28</v>
      </c>
      <c r="B207" s="287" t="s">
        <v>456</v>
      </c>
      <c r="C207" s="287" t="s">
        <v>459</v>
      </c>
      <c r="D207" s="288" t="s">
        <v>430</v>
      </c>
      <c r="E207" s="293">
        <f ca="1">IF(D207="","",(VLOOKUP($D207,master_food_list,'Master Food List'!N$91,FALSE)))</f>
        <v>510</v>
      </c>
      <c r="F207" s="293">
        <f ca="1">IF(E207="","",(VLOOKUP($D207,master_food_list,'Master Food List'!O$91,FALSE)))</f>
        <v>42</v>
      </c>
      <c r="G207" s="293">
        <f ca="1">IF(F207="","",(VLOOKUP($D207,master_food_list,'Master Food List'!P$91,FALSE)))</f>
        <v>10.5</v>
      </c>
      <c r="H207" s="293">
        <f ca="1">IF(G207="","",(VLOOKUP($D207,master_food_list,'Master Food List'!Q$91,FALSE)))</f>
        <v>33</v>
      </c>
      <c r="I207" s="293">
        <f ca="1">IF(H207="","",(VLOOKUP($D207,master_food_list,'Master Food List'!R$91,FALSE)))</f>
        <v>75</v>
      </c>
      <c r="J207" s="293">
        <f ca="1">IF(I207="","",(VLOOKUP($D207,master_food_list,'Master Food List'!S$91,FALSE)))</f>
        <v>0</v>
      </c>
      <c r="K207" s="293">
        <f ca="1">IF(J207="","",(VLOOKUP($D207,master_food_list,'Master Food List'!T$91,FALSE)))</f>
        <v>170</v>
      </c>
    </row>
    <row r="208" spans="1:11" customFormat="1" ht="51" x14ac:dyDescent="0.2">
      <c r="A208" s="286">
        <v>28</v>
      </c>
      <c r="B208" s="287" t="s">
        <v>456</v>
      </c>
      <c r="C208" s="287" t="s">
        <v>458</v>
      </c>
      <c r="D208" s="288" t="s">
        <v>436</v>
      </c>
      <c r="E208" s="293">
        <f ca="1">IF(D208="","",(VLOOKUP($D208,master_food_list,'Master Food List'!N$91,FALSE)))</f>
        <v>620</v>
      </c>
      <c r="F208" s="293">
        <f ca="1">IF(E208="","",(VLOOKUP($D208,master_food_list,'Master Food List'!O$91,FALSE)))</f>
        <v>144</v>
      </c>
      <c r="G208" s="293">
        <f ca="1">IF(F208="","",(VLOOKUP($D208,master_food_list,'Master Food List'!P$91,FALSE)))</f>
        <v>28</v>
      </c>
      <c r="H208" s="293">
        <f ca="1">IF(G208="","",(VLOOKUP($D208,master_food_list,'Master Food List'!Q$91,FALSE)))</f>
        <v>7</v>
      </c>
      <c r="I208" s="293">
        <f ca="1">IF(H208="","",(VLOOKUP($D208,master_food_list,'Master Food List'!R$91,FALSE)))</f>
        <v>1160</v>
      </c>
      <c r="J208" s="293">
        <f ca="1">IF(I208="","",(VLOOKUP($D208,master_food_list,'Master Food List'!S$91,FALSE)))</f>
        <v>0</v>
      </c>
      <c r="K208" s="293">
        <f ca="1">IF(J208="","",(VLOOKUP($D208,master_food_list,'Master Food List'!T$91,FALSE)))</f>
        <v>103.33333333333333</v>
      </c>
    </row>
    <row r="209" spans="1:11" customFormat="1" ht="51" x14ac:dyDescent="0.2">
      <c r="A209" s="286">
        <v>28</v>
      </c>
      <c r="B209" s="287" t="s">
        <v>456</v>
      </c>
      <c r="C209" s="287" t="s">
        <v>457</v>
      </c>
      <c r="D209" s="288" t="s">
        <v>479</v>
      </c>
      <c r="E209" s="293">
        <f ca="1">IF(D209="","",(VLOOKUP($D209,master_food_list,'Master Food List'!N$91,FALSE)))</f>
        <v>300</v>
      </c>
      <c r="F209" s="293">
        <f ca="1">IF(E209="","",(VLOOKUP($D209,master_food_list,'Master Food List'!O$91,FALSE)))</f>
        <v>10.5</v>
      </c>
      <c r="G209" s="293">
        <f ca="1">IF(F209="","",(VLOOKUP($D209,master_food_list,'Master Food List'!P$91,FALSE)))</f>
        <v>10.5</v>
      </c>
      <c r="H209" s="293">
        <f ca="1">IF(G209="","",(VLOOKUP($D209,master_food_list,'Master Food List'!Q$91,FALSE)))</f>
        <v>25.5</v>
      </c>
      <c r="I209" s="293">
        <f ca="1">IF(H209="","",(VLOOKUP($D209,master_food_list,'Master Food List'!R$91,FALSE)))</f>
        <v>150</v>
      </c>
      <c r="J209" s="293">
        <f ca="1">IF(I209="","",(VLOOKUP($D209,master_food_list,'Master Food List'!S$91,FALSE)))</f>
        <v>0</v>
      </c>
      <c r="K209" s="293">
        <f ca="1">IF(J209="","",(VLOOKUP($D209,master_food_list,'Master Food List'!T$91,FALSE)))</f>
        <v>177.77777777777777</v>
      </c>
    </row>
    <row r="210" spans="1:11" customFormat="1" ht="51" x14ac:dyDescent="0.2">
      <c r="A210" s="286">
        <v>28</v>
      </c>
      <c r="B210" s="287" t="s">
        <v>456</v>
      </c>
      <c r="C210" s="287" t="s">
        <v>455</v>
      </c>
      <c r="D210" s="288" t="s">
        <v>482</v>
      </c>
      <c r="E210" s="293">
        <f ca="1">IF(D210="","",(VLOOKUP($D210,master_food_list,'Master Food List'!N$91,FALSE)))</f>
        <v>110</v>
      </c>
      <c r="F210" s="293">
        <f ca="1">IF(E210="","",(VLOOKUP($D210,master_food_list,'Master Food List'!O$91,FALSE)))</f>
        <v>21</v>
      </c>
      <c r="G210" s="293">
        <f ca="1">IF(F210="","",(VLOOKUP($D210,master_food_list,'Master Food List'!P$91,FALSE)))</f>
        <v>1</v>
      </c>
      <c r="H210" s="293">
        <f ca="1">IF(G210="","",(VLOOKUP($D210,master_food_list,'Master Food List'!Q$91,FALSE)))</f>
        <v>2</v>
      </c>
      <c r="I210" s="293">
        <f ca="1">IF(H210="","",(VLOOKUP($D210,master_food_list,'Master Food List'!R$91,FALSE)))</f>
        <v>150</v>
      </c>
      <c r="J210" s="293">
        <f ca="1">IF(I210="","",(VLOOKUP($D210,master_food_list,'Master Food List'!S$91,FALSE)))</f>
        <v>0</v>
      </c>
      <c r="K210" s="293">
        <f ca="1">IF(J210="","",(VLOOKUP($D210,master_food_list,'Master Food List'!T$91,FALSE)))</f>
        <v>118.27956989247312</v>
      </c>
    </row>
    <row r="211" spans="1:11" customFormat="1" ht="51" x14ac:dyDescent="0.2">
      <c r="A211" s="286">
        <v>29</v>
      </c>
      <c r="B211" s="287" t="s">
        <v>456</v>
      </c>
      <c r="C211" s="287" t="s">
        <v>462</v>
      </c>
      <c r="D211" s="288" t="s">
        <v>480</v>
      </c>
      <c r="E211" s="293">
        <f ca="1">IF(D211="","",(VLOOKUP($D211,master_food_list,'Master Food List'!N$91,FALSE)))</f>
        <v>620</v>
      </c>
      <c r="F211" s="293">
        <f ca="1">IF(E211="","",(VLOOKUP($D211,master_food_list,'Master Food List'!O$91,FALSE)))</f>
        <v>74</v>
      </c>
      <c r="G211" s="293">
        <f ca="1">IF(F211="","",(VLOOKUP($D211,master_food_list,'Master Food List'!P$91,FALSE)))</f>
        <v>16</v>
      </c>
      <c r="H211" s="293">
        <f ca="1">IF(G211="","",(VLOOKUP($D211,master_food_list,'Master Food List'!Q$91,FALSE)))</f>
        <v>31</v>
      </c>
      <c r="I211" s="293">
        <f ca="1">IF(H211="","",(VLOOKUP($D211,master_food_list,'Master Food List'!R$91,FALSE)))</f>
        <v>280</v>
      </c>
      <c r="J211" s="293">
        <f ca="1">IF(I211="","",(VLOOKUP($D211,master_food_list,'Master Food List'!S$91,FALSE)))</f>
        <v>0</v>
      </c>
      <c r="K211" s="293">
        <f ca="1">IF(J211="","",(VLOOKUP($D211,master_food_list,'Master Food List'!T$91,FALSE)))</f>
        <v>130.52631578947367</v>
      </c>
    </row>
    <row r="212" spans="1:11" customFormat="1" ht="51" x14ac:dyDescent="0.2">
      <c r="A212" s="286">
        <v>29</v>
      </c>
      <c r="B212" s="287" t="s">
        <v>456</v>
      </c>
      <c r="C212" s="287" t="s">
        <v>461</v>
      </c>
      <c r="D212" s="288" t="s">
        <v>433</v>
      </c>
      <c r="E212" s="293">
        <f ca="1">IF(D212="","",(VLOOKUP($D212,master_food_list,'Master Food List'!N$91,FALSE)))</f>
        <v>280</v>
      </c>
      <c r="F212" s="293">
        <f ca="1">IF(E212="","",(VLOOKUP($D212,master_food_list,'Master Food List'!O$91,FALSE)))</f>
        <v>34</v>
      </c>
      <c r="G212" s="293">
        <f ca="1">IF(F212="","",(VLOOKUP($D212,master_food_list,'Master Food List'!P$91,FALSE)))</f>
        <v>2</v>
      </c>
      <c r="H212" s="293">
        <f ca="1">IF(G212="","",(VLOOKUP($D212,master_food_list,'Master Food List'!Q$91,FALSE)))</f>
        <v>17</v>
      </c>
      <c r="I212" s="293">
        <f ca="1">IF(H212="","",(VLOOKUP($D212,master_food_list,'Master Food List'!R$91,FALSE)))</f>
        <v>0</v>
      </c>
      <c r="J212" s="293">
        <f ca="1">IF(I212="","",(VLOOKUP($D212,master_food_list,'Master Food List'!S$91,FALSE)))</f>
        <v>0</v>
      </c>
      <c r="K212" s="293">
        <f ca="1">IF(J212="","",(VLOOKUP($D212,master_food_list,'Master Food List'!T$91,FALSE)))</f>
        <v>140</v>
      </c>
    </row>
    <row r="213" spans="1:11" customFormat="1" ht="51" x14ac:dyDescent="0.2">
      <c r="A213" s="286">
        <v>29</v>
      </c>
      <c r="B213" s="287" t="s">
        <v>456</v>
      </c>
      <c r="C213" s="287" t="s">
        <v>460</v>
      </c>
      <c r="D213" s="288"/>
      <c r="E213" s="293" t="str">
        <f>IF(D213="","",(VLOOKUP($D213,master_food_list,'Master Food List'!N$91,FALSE)))</f>
        <v/>
      </c>
      <c r="F213" s="293" t="str">
        <f>IF(E213="","",(VLOOKUP($D213,master_food_list,'Master Food List'!O$91,FALSE)))</f>
        <v/>
      </c>
      <c r="G213" s="293" t="str">
        <f>IF(F213="","",(VLOOKUP($D213,master_food_list,'Master Food List'!P$91,FALSE)))</f>
        <v/>
      </c>
      <c r="H213" s="293" t="str">
        <f>IF(G213="","",(VLOOKUP($D213,master_food_list,'Master Food List'!Q$91,FALSE)))</f>
        <v/>
      </c>
      <c r="I213" s="293" t="str">
        <f>IF(H213="","",(VLOOKUP($D213,master_food_list,'Master Food List'!R$91,FALSE)))</f>
        <v/>
      </c>
      <c r="J213" s="293" t="str">
        <f>IF(I213="","",(VLOOKUP($D213,master_food_list,'Master Food List'!S$91,FALSE)))</f>
        <v/>
      </c>
      <c r="K213" s="293" t="str">
        <f>IF(J213="","",(VLOOKUP($D213,master_food_list,'Master Food List'!T$91,FALSE)))</f>
        <v/>
      </c>
    </row>
    <row r="214" spans="1:11" customFormat="1" ht="51" x14ac:dyDescent="0.2">
      <c r="A214" s="286">
        <v>29</v>
      </c>
      <c r="B214" s="287" t="s">
        <v>456</v>
      </c>
      <c r="C214" s="287" t="s">
        <v>459</v>
      </c>
      <c r="D214" s="288" t="s">
        <v>414</v>
      </c>
      <c r="E214" s="293">
        <f ca="1">IF(D214="","",(VLOOKUP($D214,master_food_list,'Master Food List'!N$91,FALSE)))</f>
        <v>250</v>
      </c>
      <c r="F214" s="293">
        <f ca="1">IF(E214="","",(VLOOKUP($D214,master_food_list,'Master Food List'!O$91,FALSE)))</f>
        <v>33</v>
      </c>
      <c r="G214" s="293">
        <f ca="1">IF(F214="","",(VLOOKUP($D214,master_food_list,'Master Food List'!P$91,FALSE)))</f>
        <v>4</v>
      </c>
      <c r="H214" s="293">
        <f ca="1">IF(G214="","",(VLOOKUP($D214,master_food_list,'Master Food List'!Q$91,FALSE)))</f>
        <v>12</v>
      </c>
      <c r="I214" s="293">
        <f ca="1">IF(H214="","",(VLOOKUP($D214,master_food_list,'Master Food List'!R$91,FALSE)))</f>
        <v>120</v>
      </c>
      <c r="J214" s="293">
        <f ca="1">IF(I214="","",(VLOOKUP($D214,master_food_list,'Master Food List'!S$91,FALSE)))</f>
        <v>0</v>
      </c>
      <c r="K214" s="293">
        <f ca="1">IF(J214="","",(VLOOKUP($D214,master_food_list,'Master Food List'!T$91,FALSE)))</f>
        <v>134.40860215053763</v>
      </c>
    </row>
    <row r="215" spans="1:11" customFormat="1" ht="51" x14ac:dyDescent="0.2">
      <c r="A215" s="286">
        <v>29</v>
      </c>
      <c r="B215" s="287" t="s">
        <v>456</v>
      </c>
      <c r="C215" s="287" t="s">
        <v>458</v>
      </c>
      <c r="D215" s="288" t="s">
        <v>493</v>
      </c>
      <c r="E215" s="293">
        <f ca="1">IF(D215="","",(VLOOKUP($D215,master_food_list,'Master Food List'!N$91,FALSE)))</f>
        <v>1000</v>
      </c>
      <c r="F215" s="293">
        <f ca="1">IF(E215="","",(VLOOKUP($D215,master_food_list,'Master Food List'!O$91,FALSE)))</f>
        <v>112</v>
      </c>
      <c r="G215" s="293">
        <f ca="1">IF(F215="","",(VLOOKUP($D215,master_food_list,'Master Food List'!P$91,FALSE)))</f>
        <v>40</v>
      </c>
      <c r="H215" s="293">
        <f ca="1">IF(G215="","",(VLOOKUP($D215,master_food_list,'Master Food List'!Q$91,FALSE)))</f>
        <v>52</v>
      </c>
      <c r="I215" s="293">
        <f ca="1">IF(H215="","",(VLOOKUP($D215,master_food_list,'Master Food List'!R$91,FALSE)))</f>
        <v>460</v>
      </c>
      <c r="J215" s="293">
        <f ca="1">IF(I215="","",(VLOOKUP($D215,master_food_list,'Master Food List'!S$91,FALSE)))</f>
        <v>0</v>
      </c>
      <c r="K215" s="293">
        <f ca="1">IF(J215="","",(VLOOKUP($D215,master_food_list,'Master Food List'!T$91,FALSE)))</f>
        <v>123.4567901234568</v>
      </c>
    </row>
    <row r="216" spans="1:11" customFormat="1" ht="51" x14ac:dyDescent="0.2">
      <c r="A216" s="286">
        <v>29</v>
      </c>
      <c r="B216" s="287" t="s">
        <v>456</v>
      </c>
      <c r="C216" s="287" t="s">
        <v>457</v>
      </c>
      <c r="D216" s="288" t="s">
        <v>479</v>
      </c>
      <c r="E216" s="293">
        <f ca="1">IF(D216="","",(VLOOKUP($D216,master_food_list,'Master Food List'!N$91,FALSE)))</f>
        <v>300</v>
      </c>
      <c r="F216" s="293">
        <f ca="1">IF(E216="","",(VLOOKUP($D216,master_food_list,'Master Food List'!O$91,FALSE)))</f>
        <v>10.5</v>
      </c>
      <c r="G216" s="293">
        <f ca="1">IF(F216="","",(VLOOKUP($D216,master_food_list,'Master Food List'!P$91,FALSE)))</f>
        <v>10.5</v>
      </c>
      <c r="H216" s="293">
        <f ca="1">IF(G216="","",(VLOOKUP($D216,master_food_list,'Master Food List'!Q$91,FALSE)))</f>
        <v>25.5</v>
      </c>
      <c r="I216" s="293">
        <f ca="1">IF(H216="","",(VLOOKUP($D216,master_food_list,'Master Food List'!R$91,FALSE)))</f>
        <v>150</v>
      </c>
      <c r="J216" s="293">
        <f ca="1">IF(I216="","",(VLOOKUP($D216,master_food_list,'Master Food List'!S$91,FALSE)))</f>
        <v>0</v>
      </c>
      <c r="K216" s="293">
        <f ca="1">IF(J216="","",(VLOOKUP($D216,master_food_list,'Master Food List'!T$91,FALSE)))</f>
        <v>177.77777777777777</v>
      </c>
    </row>
    <row r="217" spans="1:11" customFormat="1" ht="51" x14ac:dyDescent="0.2">
      <c r="A217" s="286">
        <v>29</v>
      </c>
      <c r="B217" s="287" t="s">
        <v>456</v>
      </c>
      <c r="C217" s="287" t="s">
        <v>455</v>
      </c>
      <c r="D217" s="288" t="s">
        <v>482</v>
      </c>
      <c r="E217" s="293">
        <f ca="1">IF(D217="","",(VLOOKUP($D217,master_food_list,'Master Food List'!N$91,FALSE)))</f>
        <v>110</v>
      </c>
      <c r="F217" s="293">
        <f ca="1">IF(E217="","",(VLOOKUP($D217,master_food_list,'Master Food List'!O$91,FALSE)))</f>
        <v>21</v>
      </c>
      <c r="G217" s="293">
        <f ca="1">IF(F217="","",(VLOOKUP($D217,master_food_list,'Master Food List'!P$91,FALSE)))</f>
        <v>1</v>
      </c>
      <c r="H217" s="293">
        <f ca="1">IF(G217="","",(VLOOKUP($D217,master_food_list,'Master Food List'!Q$91,FALSE)))</f>
        <v>2</v>
      </c>
      <c r="I217" s="293">
        <f ca="1">IF(H217="","",(VLOOKUP($D217,master_food_list,'Master Food List'!R$91,FALSE)))</f>
        <v>150</v>
      </c>
      <c r="J217" s="293">
        <f ca="1">IF(I217="","",(VLOOKUP($D217,master_food_list,'Master Food List'!S$91,FALSE)))</f>
        <v>0</v>
      </c>
      <c r="K217" s="293">
        <f ca="1">IF(J217="","",(VLOOKUP($D217,master_food_list,'Master Food List'!T$91,FALSE)))</f>
        <v>118.27956989247312</v>
      </c>
    </row>
    <row r="218" spans="1:11" ht="34" x14ac:dyDescent="0.2">
      <c r="A218" s="296"/>
      <c r="B218" s="297" t="s">
        <v>708</v>
      </c>
      <c r="C218" s="297">
        <f>(A217+1)-A155</f>
        <v>9</v>
      </c>
      <c r="D218" s="298"/>
      <c r="E218" s="299"/>
      <c r="F218" s="299"/>
      <c r="G218" s="299"/>
      <c r="H218" s="299"/>
      <c r="I218" s="299"/>
      <c r="J218" s="299"/>
      <c r="K218" s="299"/>
    </row>
  </sheetData>
  <mergeCells count="4">
    <mergeCell ref="A2:K2"/>
    <mergeCell ref="D5:E5"/>
    <mergeCell ref="F5:I5"/>
    <mergeCell ref="A1:K1"/>
  </mergeCells>
  <printOptions horizontalCentered="1"/>
  <pageMargins left="0.25" right="0.25" top="0.75" bottom="0.5" header="0.25" footer="0.3"/>
  <pageSetup scale="61" fitToHeight="0" orientation="portrait" horizontalDpi="0" verticalDpi="0"/>
  <headerFooter>
    <oddHeader>&amp;C&amp;"Calibri Bold,Bold"&amp;18&amp;K000000JMT 2018</oddHeader>
  </headerFooter>
  <rowBreaks count="4" manualBreakCount="4">
    <brk id="46" max="16383" man="1"/>
    <brk id="82" max="16383" man="1"/>
    <brk id="111" max="16383" man="1"/>
    <brk id="154" max="16383" man="1"/>
  </rowBreaks>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73535FB-7B7F-3346-9C78-2CDD47521F4D}">
          <x14:formula1>
            <xm:f>'Master Food List'!$A:$A</xm:f>
          </x14:formula1>
          <xm:sqref>D8:D217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75E5-63A6-B347-AFAC-025646CA8868}">
  <sheetPr>
    <pageSetUpPr fitToPage="1"/>
  </sheetPr>
  <dimension ref="A1:N218"/>
  <sheetViews>
    <sheetView zoomScaleNormal="100" zoomScaleSheetLayoutView="100" workbookViewId="0">
      <pane ySplit="7" topLeftCell="A8" activePane="bottomLeft" state="frozen"/>
      <selection pane="bottomLeft" activeCell="O5" sqref="O5"/>
    </sheetView>
  </sheetViews>
  <sheetFormatPr baseColWidth="10" defaultRowHeight="16" x14ac:dyDescent="0.2"/>
  <cols>
    <col min="1" max="1" width="9.83203125" style="199" customWidth="1"/>
    <col min="2" max="2" width="11.83203125" style="200" bestFit="1" customWidth="1"/>
    <col min="3" max="3" width="13.1640625" style="200" bestFit="1" customWidth="1"/>
    <col min="4" max="4" width="39.5" style="201" customWidth="1"/>
    <col min="5" max="5" width="10.83203125" style="270"/>
    <col min="6" max="6" width="16.83203125" style="270" bestFit="1" customWidth="1"/>
    <col min="7" max="7" width="10.6640625" style="270" bestFit="1" customWidth="1"/>
    <col min="8" max="8" width="7" style="270" bestFit="1" customWidth="1"/>
    <col min="9" max="9" width="12.83203125" style="270" bestFit="1" customWidth="1"/>
    <col min="10" max="10" width="11.5" style="270" bestFit="1" customWidth="1"/>
    <col min="11" max="11" width="13" style="270" bestFit="1" customWidth="1"/>
    <col min="12" max="16384" width="10.83203125" style="202"/>
  </cols>
  <sheetData>
    <row r="1" spans="1:14" ht="57" customHeight="1" x14ac:dyDescent="0.2">
      <c r="A1" s="452" t="s">
        <v>762</v>
      </c>
      <c r="B1" s="452"/>
      <c r="C1" s="452"/>
      <c r="D1" s="452"/>
      <c r="E1" s="452"/>
      <c r="F1" s="452"/>
      <c r="G1" s="452"/>
      <c r="H1" s="452"/>
      <c r="I1" s="452"/>
      <c r="J1" s="452"/>
      <c r="K1" s="452"/>
    </row>
    <row r="2" spans="1:14" s="160" customFormat="1" ht="46" customHeight="1" x14ac:dyDescent="0.2">
      <c r="A2" s="451" t="s">
        <v>477</v>
      </c>
      <c r="B2" s="451"/>
      <c r="C2" s="451"/>
      <c r="D2" s="451"/>
      <c r="E2" s="451"/>
      <c r="F2" s="451"/>
      <c r="G2" s="451"/>
      <c r="H2" s="451"/>
      <c r="I2" s="451"/>
      <c r="J2" s="451"/>
      <c r="K2" s="451"/>
    </row>
    <row r="3" spans="1:14" s="160" customFormat="1" ht="15" customHeight="1" x14ac:dyDescent="0.2">
      <c r="A3" s="277" t="s">
        <v>469</v>
      </c>
      <c r="B3" s="164" t="s">
        <v>468</v>
      </c>
      <c r="C3" s="162"/>
      <c r="D3" s="162"/>
      <c r="E3" s="161"/>
      <c r="F3" s="161"/>
      <c r="G3" s="161"/>
      <c r="H3" s="271"/>
      <c r="I3" s="161"/>
      <c r="J3" s="161"/>
      <c r="K3" s="161"/>
    </row>
    <row r="4" spans="1:14" s="160" customFormat="1" x14ac:dyDescent="0.2">
      <c r="A4" s="169"/>
      <c r="B4" s="169"/>
      <c r="C4" s="269"/>
      <c r="D4" s="269"/>
      <c r="E4" s="269"/>
      <c r="F4" s="269"/>
      <c r="G4" s="161"/>
      <c r="H4" s="271"/>
      <c r="I4" s="161"/>
      <c r="J4" s="161"/>
      <c r="K4" s="161"/>
    </row>
    <row r="5" spans="1:14" s="160" customFormat="1" ht="38" customHeight="1" x14ac:dyDescent="0.2">
      <c r="A5" s="167" t="s">
        <v>473</v>
      </c>
      <c r="B5" s="167" t="s">
        <v>472</v>
      </c>
      <c r="C5" s="269"/>
      <c r="D5" s="453" t="s">
        <v>475</v>
      </c>
      <c r="E5" s="453"/>
      <c r="F5" s="453" t="s">
        <v>474</v>
      </c>
      <c r="G5" s="453"/>
      <c r="H5" s="453"/>
      <c r="I5" s="453"/>
      <c r="J5" s="295"/>
      <c r="K5" s="269"/>
      <c r="L5" s="272"/>
      <c r="M5" s="272"/>
      <c r="N5" s="272"/>
    </row>
    <row r="6" spans="1:14" s="160" customFormat="1" ht="15" customHeight="1" x14ac:dyDescent="0.2">
      <c r="A6" s="165"/>
      <c r="B6" s="164"/>
      <c r="C6" s="162"/>
      <c r="D6" s="162"/>
      <c r="E6" s="161"/>
      <c r="F6" s="161"/>
      <c r="G6" s="161"/>
      <c r="H6" s="271"/>
      <c r="I6" s="161"/>
      <c r="J6" s="161"/>
      <c r="K6" s="161"/>
    </row>
    <row r="7" spans="1:14" s="160" customFormat="1" ht="32" x14ac:dyDescent="0.2">
      <c r="A7" s="176" t="s">
        <v>467</v>
      </c>
      <c r="B7" s="176" t="s">
        <v>466</v>
      </c>
      <c r="C7" s="176" t="s">
        <v>227</v>
      </c>
      <c r="D7" s="176" t="s">
        <v>465</v>
      </c>
      <c r="E7" s="177" t="s">
        <v>368</v>
      </c>
      <c r="F7" s="177" t="s">
        <v>367</v>
      </c>
      <c r="G7" s="177" t="s">
        <v>366</v>
      </c>
      <c r="H7" s="177" t="s">
        <v>365</v>
      </c>
      <c r="I7" s="177" t="s">
        <v>364</v>
      </c>
      <c r="J7" s="177" t="s">
        <v>380</v>
      </c>
      <c r="K7" s="177" t="s">
        <v>464</v>
      </c>
    </row>
    <row r="8" spans="1:14" s="190" customFormat="1" ht="32" x14ac:dyDescent="0.2">
      <c r="A8" s="278">
        <v>0</v>
      </c>
      <c r="B8" s="279" t="s">
        <v>463</v>
      </c>
      <c r="C8" s="279" t="s">
        <v>461</v>
      </c>
      <c r="D8" s="280" t="s">
        <v>495</v>
      </c>
      <c r="E8" s="291"/>
      <c r="F8" s="291"/>
      <c r="G8" s="291"/>
      <c r="H8" s="291"/>
      <c r="I8" s="291"/>
      <c r="J8" s="291"/>
      <c r="K8" s="291"/>
    </row>
    <row r="9" spans="1:14" s="190" customFormat="1" x14ac:dyDescent="0.2">
      <c r="A9" s="278">
        <v>0</v>
      </c>
      <c r="B9" s="279" t="s">
        <v>463</v>
      </c>
      <c r="C9" s="279" t="s">
        <v>460</v>
      </c>
      <c r="D9" s="281" t="s">
        <v>445</v>
      </c>
      <c r="E9" s="291">
        <f ca="1">IF(D9="","",(VLOOKUP($D9,master_food_list,'Master Food List'!N$91,FALSE)))</f>
        <v>580</v>
      </c>
      <c r="F9" s="291">
        <f ca="1">IF(E9="","",(VLOOKUP($D9,master_food_list,'Master Food List'!O$91,FALSE)))</f>
        <v>84</v>
      </c>
      <c r="G9" s="291">
        <f ca="1">IF(F9="","",(VLOOKUP($D9,master_food_list,'Master Food List'!P$91,FALSE)))</f>
        <v>50</v>
      </c>
      <c r="H9" s="291">
        <f ca="1">IF(G9="","",(VLOOKUP($D9,master_food_list,'Master Food List'!Q$91,FALSE)))</f>
        <v>10</v>
      </c>
      <c r="I9" s="291">
        <f ca="1">IF(H9="","",(VLOOKUP($D9,master_food_list,'Master Food List'!R$91,FALSE)))</f>
        <v>1500</v>
      </c>
      <c r="J9" s="291">
        <f ca="1">IF(I9="","",(VLOOKUP($D9,master_food_list,'Master Food List'!S$91,FALSE)))</f>
        <v>0</v>
      </c>
      <c r="K9" s="291">
        <f ca="1">IF(J9="","",(VLOOKUP($D9,master_food_list,'Master Food List'!T$91,FALSE)))</f>
        <v>96.666666666666671</v>
      </c>
    </row>
    <row r="10" spans="1:14" s="190" customFormat="1" ht="32" x14ac:dyDescent="0.2">
      <c r="A10" s="278">
        <v>0</v>
      </c>
      <c r="B10" s="279" t="s">
        <v>463</v>
      </c>
      <c r="C10" s="279" t="s">
        <v>459</v>
      </c>
      <c r="D10" s="280" t="s">
        <v>354</v>
      </c>
      <c r="E10" s="291">
        <f ca="1">IF(D10="","",(VLOOKUP($D10,master_food_list,'Master Food List'!N$91,FALSE)))</f>
        <v>270</v>
      </c>
      <c r="F10" s="291">
        <f ca="1">IF(E10="","",(VLOOKUP($D10,master_food_list,'Master Food List'!O$91,FALSE)))</f>
        <v>72</v>
      </c>
      <c r="G10" s="291">
        <f ca="1">IF(F10="","",(VLOOKUP($D10,master_food_list,'Master Food List'!P$91,FALSE)))</f>
        <v>3</v>
      </c>
      <c r="H10" s="291">
        <f ca="1">IF(G10="","",(VLOOKUP($D10,master_food_list,'Master Food List'!Q$91,FALSE)))</f>
        <v>0</v>
      </c>
      <c r="I10" s="291">
        <f ca="1">IF(H10="","",(VLOOKUP($D10,master_food_list,'Master Food List'!R$91,FALSE)))</f>
        <v>0</v>
      </c>
      <c r="J10" s="291">
        <f ca="1">IF(I10="","",(VLOOKUP($D10,master_food_list,'Master Food List'!S$91,FALSE)))</f>
        <v>0</v>
      </c>
      <c r="K10" s="291">
        <f ca="1">IF(J10="","",(VLOOKUP($D10,master_food_list,'Master Food List'!T$91,FALSE)))</f>
        <v>112.5</v>
      </c>
    </row>
    <row r="11" spans="1:14" s="190" customFormat="1" x14ac:dyDescent="0.2">
      <c r="A11" s="278">
        <v>0</v>
      </c>
      <c r="B11" s="279" t="s">
        <v>463</v>
      </c>
      <c r="C11" s="279" t="s">
        <v>458</v>
      </c>
      <c r="D11" s="281" t="s">
        <v>486</v>
      </c>
      <c r="E11" s="291">
        <f ca="1">IF(D11="","",(VLOOKUP($D11,master_food_list,'Master Food List'!N$91,FALSE)))</f>
        <v>960</v>
      </c>
      <c r="F11" s="291">
        <f ca="1">IF(E11="","",(VLOOKUP($D11,master_food_list,'Master Food List'!O$91,FALSE)))</f>
        <v>178</v>
      </c>
      <c r="G11" s="291">
        <f ca="1">IF(F11="","",(VLOOKUP($D11,master_food_list,'Master Food List'!P$91,FALSE)))</f>
        <v>34</v>
      </c>
      <c r="H11" s="291">
        <f ca="1">IF(G11="","",(VLOOKUP($D11,master_food_list,'Master Food List'!Q$91,FALSE)))</f>
        <v>12</v>
      </c>
      <c r="I11" s="291">
        <f ca="1">IF(H11="","",(VLOOKUP($D11,master_food_list,'Master Food List'!R$91,FALSE)))</f>
        <v>1620</v>
      </c>
      <c r="J11" s="291">
        <f ca="1">IF(I11="","",(VLOOKUP($D11,master_food_list,'Master Food List'!S$91,FALSE)))</f>
        <v>0</v>
      </c>
      <c r="K11" s="291">
        <f ca="1">IF(J11="","",(VLOOKUP($D11,master_food_list,'Master Food List'!T$91,FALSE)))</f>
        <v>109.09090909090908</v>
      </c>
    </row>
    <row r="12" spans="1:14" s="189" customFormat="1" ht="32" x14ac:dyDescent="0.2">
      <c r="A12" s="282">
        <v>1</v>
      </c>
      <c r="B12" s="283" t="s">
        <v>463</v>
      </c>
      <c r="C12" s="283" t="s">
        <v>462</v>
      </c>
      <c r="D12" s="284" t="s">
        <v>480</v>
      </c>
      <c r="E12" s="292">
        <f ca="1">IF(D12="","",(VLOOKUP($D12,master_food_list,'Master Food List'!N$91,FALSE)))</f>
        <v>620</v>
      </c>
      <c r="F12" s="292">
        <f ca="1">IF(E12="","",(VLOOKUP($D12,master_food_list,'Master Food List'!O$91,FALSE)))</f>
        <v>74</v>
      </c>
      <c r="G12" s="292">
        <f ca="1">IF(F12="","",(VLOOKUP($D12,master_food_list,'Master Food List'!P$91,FALSE)))</f>
        <v>16</v>
      </c>
      <c r="H12" s="292">
        <f ca="1">IF(G12="","",(VLOOKUP($D12,master_food_list,'Master Food List'!Q$91,FALSE)))</f>
        <v>31</v>
      </c>
      <c r="I12" s="292">
        <f ca="1">IF(H12="","",(VLOOKUP($D12,master_food_list,'Master Food List'!R$91,FALSE)))</f>
        <v>280</v>
      </c>
      <c r="J12" s="292">
        <f ca="1">IF(I12="","",(VLOOKUP($D12,master_food_list,'Master Food List'!S$91,FALSE)))</f>
        <v>0</v>
      </c>
      <c r="K12" s="292">
        <f ca="1">IF(J12="","",(VLOOKUP($D12,master_food_list,'Master Food List'!T$91,FALSE)))</f>
        <v>130.52631578947367</v>
      </c>
    </row>
    <row r="13" spans="1:14" s="189" customFormat="1" ht="48" x14ac:dyDescent="0.2">
      <c r="A13" s="282">
        <v>1</v>
      </c>
      <c r="B13" s="283" t="s">
        <v>463</v>
      </c>
      <c r="C13" s="283" t="s">
        <v>461</v>
      </c>
      <c r="D13" s="284" t="s">
        <v>430</v>
      </c>
      <c r="E13" s="292">
        <f ca="1">IF(D13="","",(VLOOKUP($D13,master_food_list,'Master Food List'!N$91,FALSE)))</f>
        <v>510</v>
      </c>
      <c r="F13" s="292">
        <f ca="1">IF(E13="","",(VLOOKUP($D13,master_food_list,'Master Food List'!O$91,FALSE)))</f>
        <v>42</v>
      </c>
      <c r="G13" s="292">
        <f ca="1">IF(F13="","",(VLOOKUP($D13,master_food_list,'Master Food List'!P$91,FALSE)))</f>
        <v>10.5</v>
      </c>
      <c r="H13" s="292">
        <f ca="1">IF(G13="","",(VLOOKUP($D13,master_food_list,'Master Food List'!Q$91,FALSE)))</f>
        <v>33</v>
      </c>
      <c r="I13" s="292">
        <f ca="1">IF(H13="","",(VLOOKUP($D13,master_food_list,'Master Food List'!R$91,FALSE)))</f>
        <v>75</v>
      </c>
      <c r="J13" s="292">
        <f ca="1">IF(I13="","",(VLOOKUP($D13,master_food_list,'Master Food List'!S$91,FALSE)))</f>
        <v>0</v>
      </c>
      <c r="K13" s="292">
        <f ca="1">IF(J13="","",(VLOOKUP($D13,master_food_list,'Master Food List'!T$91,FALSE)))</f>
        <v>170</v>
      </c>
    </row>
    <row r="14" spans="1:14" s="189" customFormat="1" x14ac:dyDescent="0.2">
      <c r="A14" s="282">
        <v>1</v>
      </c>
      <c r="B14" s="283" t="s">
        <v>463</v>
      </c>
      <c r="C14" s="283" t="s">
        <v>460</v>
      </c>
      <c r="D14" s="285"/>
      <c r="E14" s="292" t="str">
        <f>IF(D14="","",(VLOOKUP($D14,master_food_list,'Master Food List'!N$91,FALSE)))</f>
        <v/>
      </c>
      <c r="F14" s="292" t="str">
        <f>IF(E14="","",(VLOOKUP($D14,master_food_list,'Master Food List'!O$91,FALSE)))</f>
        <v/>
      </c>
      <c r="G14" s="292" t="str">
        <f>IF(F14="","",(VLOOKUP($D14,master_food_list,'Master Food List'!P$91,FALSE)))</f>
        <v/>
      </c>
      <c r="H14" s="292" t="str">
        <f>IF(G14="","",(VLOOKUP($D14,master_food_list,'Master Food List'!Q$91,FALSE)))</f>
        <v/>
      </c>
      <c r="I14" s="292" t="str">
        <f>IF(H14="","",(VLOOKUP($D14,master_food_list,'Master Food List'!R$91,FALSE)))</f>
        <v/>
      </c>
      <c r="J14" s="292" t="str">
        <f>IF(I14="","",(VLOOKUP($D14,master_food_list,'Master Food List'!S$91,FALSE)))</f>
        <v/>
      </c>
      <c r="K14" s="292" t="str">
        <f>IF(J14="","",(VLOOKUP($D14,master_food_list,'Master Food List'!T$91,FALSE)))</f>
        <v/>
      </c>
    </row>
    <row r="15" spans="1:14" s="189" customFormat="1" ht="32" x14ac:dyDescent="0.2">
      <c r="A15" s="282">
        <v>1</v>
      </c>
      <c r="B15" s="283" t="s">
        <v>463</v>
      </c>
      <c r="C15" s="283" t="s">
        <v>459</v>
      </c>
      <c r="D15" s="284" t="s">
        <v>354</v>
      </c>
      <c r="E15" s="292">
        <f ca="1">IF(D15="","",(VLOOKUP($D15,master_food_list,'Master Food List'!N$91,FALSE)))</f>
        <v>270</v>
      </c>
      <c r="F15" s="292">
        <f ca="1">IF(E15="","",(VLOOKUP($D15,master_food_list,'Master Food List'!O$91,FALSE)))</f>
        <v>72</v>
      </c>
      <c r="G15" s="292">
        <f ca="1">IF(F15="","",(VLOOKUP($D15,master_food_list,'Master Food List'!P$91,FALSE)))</f>
        <v>3</v>
      </c>
      <c r="H15" s="292">
        <f ca="1">IF(G15="","",(VLOOKUP($D15,master_food_list,'Master Food List'!Q$91,FALSE)))</f>
        <v>0</v>
      </c>
      <c r="I15" s="292">
        <f ca="1">IF(H15="","",(VLOOKUP($D15,master_food_list,'Master Food List'!R$91,FALSE)))</f>
        <v>0</v>
      </c>
      <c r="J15" s="292">
        <f ca="1">IF(I15="","",(VLOOKUP($D15,master_food_list,'Master Food List'!S$91,FALSE)))</f>
        <v>0</v>
      </c>
      <c r="K15" s="292">
        <f ca="1">IF(J15="","",(VLOOKUP($D15,master_food_list,'Master Food List'!T$91,FALSE)))</f>
        <v>112.5</v>
      </c>
    </row>
    <row r="16" spans="1:14" s="189" customFormat="1" x14ac:dyDescent="0.2">
      <c r="A16" s="282">
        <v>1</v>
      </c>
      <c r="B16" s="283" t="s">
        <v>463</v>
      </c>
      <c r="C16" s="283" t="s">
        <v>458</v>
      </c>
      <c r="D16" s="285" t="s">
        <v>336</v>
      </c>
      <c r="E16" s="292">
        <f ca="1">IF(D16="","",(VLOOKUP($D16,master_food_list,'Master Food List'!N$91,FALSE)))</f>
        <v>575</v>
      </c>
      <c r="F16" s="292">
        <f ca="1">IF(E16="","",(VLOOKUP($D16,master_food_list,'Master Food List'!O$91,FALSE)))</f>
        <v>77.5</v>
      </c>
      <c r="G16" s="292">
        <f ca="1">IF(F16="","",(VLOOKUP($D16,master_food_list,'Master Food List'!P$91,FALSE)))</f>
        <v>30</v>
      </c>
      <c r="H16" s="292">
        <f ca="1">IF(G16="","",(VLOOKUP($D16,master_food_list,'Master Food List'!Q$91,FALSE)))</f>
        <v>15</v>
      </c>
      <c r="I16" s="292">
        <f ca="1">IF(H16="","",(VLOOKUP($D16,master_food_list,'Master Food List'!R$91,FALSE)))</f>
        <v>1950</v>
      </c>
      <c r="J16" s="292">
        <f ca="1">IF(I16="","",(VLOOKUP($D16,master_food_list,'Master Food List'!S$91,FALSE)))</f>
        <v>0</v>
      </c>
      <c r="K16" s="292">
        <f ca="1">IF(J16="","",(VLOOKUP($D16,master_food_list,'Master Food List'!T$91,FALSE)))</f>
        <v>117.2870984191739</v>
      </c>
    </row>
    <row r="17" spans="1:11" s="189" customFormat="1" x14ac:dyDescent="0.2">
      <c r="A17" s="282">
        <v>1</v>
      </c>
      <c r="B17" s="283" t="s">
        <v>463</v>
      </c>
      <c r="C17" s="283" t="s">
        <v>457</v>
      </c>
      <c r="D17" s="285" t="s">
        <v>479</v>
      </c>
      <c r="E17" s="292">
        <f ca="1">IF(D17="","",(VLOOKUP($D17,master_food_list,'Master Food List'!N$91,FALSE)))</f>
        <v>300</v>
      </c>
      <c r="F17" s="292">
        <f ca="1">IF(E17="","",(VLOOKUP($D17,master_food_list,'Master Food List'!O$91,FALSE)))</f>
        <v>10.5</v>
      </c>
      <c r="G17" s="292">
        <f ca="1">IF(F17="","",(VLOOKUP($D17,master_food_list,'Master Food List'!P$91,FALSE)))</f>
        <v>10.5</v>
      </c>
      <c r="H17" s="292">
        <f ca="1">IF(G17="","",(VLOOKUP($D17,master_food_list,'Master Food List'!Q$91,FALSE)))</f>
        <v>25.5</v>
      </c>
      <c r="I17" s="292">
        <f ca="1">IF(H17="","",(VLOOKUP($D17,master_food_list,'Master Food List'!R$91,FALSE)))</f>
        <v>150</v>
      </c>
      <c r="J17" s="292">
        <f ca="1">IF(I17="","",(VLOOKUP($D17,master_food_list,'Master Food List'!S$91,FALSE)))</f>
        <v>0</v>
      </c>
      <c r="K17" s="292">
        <f ca="1">IF(J17="","",(VLOOKUP($D17,master_food_list,'Master Food List'!T$91,FALSE)))</f>
        <v>177.77777777777777</v>
      </c>
    </row>
    <row r="18" spans="1:11" s="189" customFormat="1" x14ac:dyDescent="0.2">
      <c r="A18" s="282">
        <v>1</v>
      </c>
      <c r="B18" s="283" t="s">
        <v>463</v>
      </c>
      <c r="C18" s="283" t="s">
        <v>455</v>
      </c>
      <c r="D18" s="285" t="s">
        <v>478</v>
      </c>
      <c r="E18" s="292">
        <f ca="1">IF(D18="","",(VLOOKUP($D18,master_food_list,'Master Food List'!N$91,FALSE)))</f>
        <v>540</v>
      </c>
      <c r="F18" s="292">
        <f ca="1">IF(E18="","",(VLOOKUP($D18,master_food_list,'Master Food List'!O$91,FALSE)))</f>
        <v>105</v>
      </c>
      <c r="G18" s="292">
        <f ca="1">IF(F18="","",(VLOOKUP($D18,master_food_list,'Master Food List'!P$91,FALSE)))</f>
        <v>6</v>
      </c>
      <c r="H18" s="292">
        <f ca="1">IF(G18="","",(VLOOKUP($D18,master_food_list,'Master Food List'!Q$91,FALSE)))</f>
        <v>12</v>
      </c>
      <c r="I18" s="292">
        <f ca="1">IF(H18="","",(VLOOKUP($D18,master_food_list,'Master Food List'!R$91,FALSE)))</f>
        <v>240</v>
      </c>
      <c r="J18" s="292">
        <f ca="1">IF(I18="","",(VLOOKUP($D18,master_food_list,'Master Food List'!S$91,FALSE)))</f>
        <v>0</v>
      </c>
      <c r="K18" s="292">
        <f ca="1">IF(J18="","",(VLOOKUP($D18,master_food_list,'Master Food List'!T$91,FALSE)))</f>
        <v>117.64705882352942</v>
      </c>
    </row>
    <row r="19" spans="1:11" customFormat="1" x14ac:dyDescent="0.2">
      <c r="A19" s="286">
        <v>2</v>
      </c>
      <c r="B19" s="287" t="s">
        <v>463</v>
      </c>
      <c r="C19" s="287" t="s">
        <v>462</v>
      </c>
      <c r="D19" s="288" t="s">
        <v>481</v>
      </c>
      <c r="E19" s="293">
        <f ca="1">IF(D19="","",(VLOOKUP($D19,master_food_list,'Master Food List'!N$91,FALSE)))</f>
        <v>400</v>
      </c>
      <c r="F19" s="293">
        <f ca="1">IF(E19="","",(VLOOKUP($D19,master_food_list,'Master Food List'!O$91,FALSE)))</f>
        <v>72</v>
      </c>
      <c r="G19" s="293">
        <f ca="1">IF(F19="","",(VLOOKUP($D19,master_food_list,'Master Food List'!P$91,FALSE)))</f>
        <v>6</v>
      </c>
      <c r="H19" s="293">
        <f ca="1">IF(G19="","",(VLOOKUP($D19,master_food_list,'Master Food List'!Q$91,FALSE)))</f>
        <v>10</v>
      </c>
      <c r="I19" s="293">
        <f ca="1">IF(H19="","",(VLOOKUP($D19,master_food_list,'Master Food List'!R$91,FALSE)))</f>
        <v>420</v>
      </c>
      <c r="J19" s="293">
        <f ca="1">IF(I19="","",(VLOOKUP($D19,master_food_list,'Master Food List'!S$91,FALSE)))</f>
        <v>0</v>
      </c>
      <c r="K19" s="293">
        <f ca="1">IF(J19="","",(VLOOKUP($D19,master_food_list,'Master Food List'!T$91,FALSE)))</f>
        <v>109.09090909090909</v>
      </c>
    </row>
    <row r="20" spans="1:11" customFormat="1" ht="32" x14ac:dyDescent="0.2">
      <c r="A20" s="286">
        <v>2</v>
      </c>
      <c r="B20" s="287" t="s">
        <v>463</v>
      </c>
      <c r="C20" s="287" t="s">
        <v>461</v>
      </c>
      <c r="D20" s="288" t="s">
        <v>396</v>
      </c>
      <c r="E20" s="293">
        <f ca="1">IF(D20="","",(VLOOKUP($D20,master_food_list,'Master Food List'!N$91,FALSE)))</f>
        <v>270</v>
      </c>
      <c r="F20" s="293">
        <f ca="1">IF(E20="","",(VLOOKUP($D20,master_food_list,'Master Food List'!O$91,FALSE)))</f>
        <v>30</v>
      </c>
      <c r="G20" s="293">
        <f ca="1">IF(F20="","",(VLOOKUP($D20,master_food_list,'Master Food List'!P$91,FALSE)))</f>
        <v>20</v>
      </c>
      <c r="H20" s="293">
        <f ca="1">IF(G20="","",(VLOOKUP($D20,master_food_list,'Master Food List'!Q$91,FALSE)))</f>
        <v>9</v>
      </c>
      <c r="I20" s="293">
        <f ca="1">IF(H20="","",(VLOOKUP($D20,master_food_list,'Master Food List'!R$91,FALSE)))</f>
        <v>200</v>
      </c>
      <c r="J20" s="293">
        <f ca="1">IF(I20="","",(VLOOKUP($D20,master_food_list,'Master Food List'!S$91,FALSE)))</f>
        <v>0</v>
      </c>
      <c r="K20" s="293">
        <f ca="1">IF(J20="","",(VLOOKUP($D20,master_food_list,'Master Food List'!T$91,FALSE)))</f>
        <v>112.5</v>
      </c>
    </row>
    <row r="21" spans="1:11" customFormat="1" x14ac:dyDescent="0.2">
      <c r="A21" s="286">
        <v>2</v>
      </c>
      <c r="B21" s="287" t="s">
        <v>463</v>
      </c>
      <c r="C21" s="287" t="s">
        <v>460</v>
      </c>
      <c r="D21" s="289"/>
      <c r="E21" s="293" t="str">
        <f>IF(D21="","",(VLOOKUP($D21,master_food_list,'Master Food List'!N$91,FALSE)))</f>
        <v/>
      </c>
      <c r="F21" s="293" t="str">
        <f>IF(E21="","",(VLOOKUP($D21,master_food_list,'Master Food List'!O$91,FALSE)))</f>
        <v/>
      </c>
      <c r="G21" s="293" t="str">
        <f>IF(F21="","",(VLOOKUP($D21,master_food_list,'Master Food List'!P$91,FALSE)))</f>
        <v/>
      </c>
      <c r="H21" s="293" t="str">
        <f>IF(G21="","",(VLOOKUP($D21,master_food_list,'Master Food List'!Q$91,FALSE)))</f>
        <v/>
      </c>
      <c r="I21" s="293" t="str">
        <f>IF(H21="","",(VLOOKUP($D21,master_food_list,'Master Food List'!R$91,FALSE)))</f>
        <v/>
      </c>
      <c r="J21" s="293" t="str">
        <f>IF(I21="","",(VLOOKUP($D21,master_food_list,'Master Food List'!S$91,FALSE)))</f>
        <v/>
      </c>
      <c r="K21" s="293" t="str">
        <f>IF(J21="","",(VLOOKUP($D21,master_food_list,'Master Food List'!T$91,FALSE)))</f>
        <v/>
      </c>
    </row>
    <row r="22" spans="1:11" customFormat="1" ht="32" x14ac:dyDescent="0.2">
      <c r="A22" s="286">
        <v>2</v>
      </c>
      <c r="B22" s="287" t="s">
        <v>463</v>
      </c>
      <c r="C22" s="287" t="s">
        <v>459</v>
      </c>
      <c r="D22" s="288" t="s">
        <v>327</v>
      </c>
      <c r="E22" s="293">
        <f ca="1">IF(D22="","",(VLOOKUP($D22,master_food_list,'Master Food List'!N$91,FALSE)))</f>
        <v>130</v>
      </c>
      <c r="F22" s="293">
        <f ca="1">IF(E22="","",(VLOOKUP($D22,master_food_list,'Master Food List'!O$91,FALSE)))</f>
        <v>8</v>
      </c>
      <c r="G22" s="293">
        <f ca="1">IF(F22="","",(VLOOKUP($D22,master_food_list,'Master Food List'!P$91,FALSE)))</f>
        <v>7</v>
      </c>
      <c r="H22" s="293">
        <f ca="1">IF(G22="","",(VLOOKUP($D22,master_food_list,'Master Food List'!Q$91,FALSE)))</f>
        <v>8</v>
      </c>
      <c r="I22" s="293">
        <f ca="1">IF(H22="","",(VLOOKUP($D22,master_food_list,'Master Food List'!R$91,FALSE)))</f>
        <v>320</v>
      </c>
      <c r="J22" s="293">
        <f ca="1">IF(I22="","",(VLOOKUP($D22,master_food_list,'Master Food List'!S$91,FALSE)))</f>
        <v>0</v>
      </c>
      <c r="K22" s="293">
        <f ca="1">IF(J22="","",(VLOOKUP($D22,master_food_list,'Master Food List'!T$91,FALSE)))</f>
        <v>99.999999999999986</v>
      </c>
    </row>
    <row r="23" spans="1:11" customFormat="1" x14ac:dyDescent="0.2">
      <c r="A23" s="286">
        <v>2</v>
      </c>
      <c r="B23" s="287" t="s">
        <v>463</v>
      </c>
      <c r="C23" s="287" t="s">
        <v>458</v>
      </c>
      <c r="D23" s="289" t="s">
        <v>449</v>
      </c>
      <c r="E23" s="293">
        <f ca="1">IF(D23="","",(VLOOKUP($D23,master_food_list,'Master Food List'!N$91,FALSE)))</f>
        <v>520</v>
      </c>
      <c r="F23" s="293">
        <f ca="1">IF(E23="","",(VLOOKUP($D23,master_food_list,'Master Food List'!O$91,FALSE)))</f>
        <v>104</v>
      </c>
      <c r="G23" s="293">
        <f ca="1">IF(F23="","",(VLOOKUP($D23,master_food_list,'Master Food List'!P$91,FALSE)))</f>
        <v>22</v>
      </c>
      <c r="H23" s="293">
        <f ca="1">IF(G23="","",(VLOOKUP($D23,master_food_list,'Master Food List'!Q$91,FALSE)))</f>
        <v>6</v>
      </c>
      <c r="I23" s="293">
        <f ca="1">IF(H23="","",(VLOOKUP($D23,master_food_list,'Master Food List'!R$91,FALSE)))</f>
        <v>1360</v>
      </c>
      <c r="J23" s="293">
        <f ca="1">IF(I23="","",(VLOOKUP($D23,master_food_list,'Master Food List'!S$91,FALSE)))</f>
        <v>0</v>
      </c>
      <c r="K23" s="293">
        <f ca="1">IF(J23="","",(VLOOKUP($D23,master_food_list,'Master Food List'!T$91,FALSE)))</f>
        <v>92.857142857142861</v>
      </c>
    </row>
    <row r="24" spans="1:11" customFormat="1" x14ac:dyDescent="0.2">
      <c r="A24" s="286">
        <v>2</v>
      </c>
      <c r="B24" s="287" t="s">
        <v>463</v>
      </c>
      <c r="C24" s="287" t="s">
        <v>457</v>
      </c>
      <c r="D24" s="289" t="s">
        <v>479</v>
      </c>
      <c r="E24" s="293">
        <f ca="1">IF(D24="","",(VLOOKUP($D24,master_food_list,'Master Food List'!N$91,FALSE)))</f>
        <v>300</v>
      </c>
      <c r="F24" s="293">
        <f ca="1">IF(E24="","",(VLOOKUP($D24,master_food_list,'Master Food List'!O$91,FALSE)))</f>
        <v>10.5</v>
      </c>
      <c r="G24" s="293">
        <f ca="1">IF(F24="","",(VLOOKUP($D24,master_food_list,'Master Food List'!P$91,FALSE)))</f>
        <v>10.5</v>
      </c>
      <c r="H24" s="293">
        <f ca="1">IF(G24="","",(VLOOKUP($D24,master_food_list,'Master Food List'!Q$91,FALSE)))</f>
        <v>25.5</v>
      </c>
      <c r="I24" s="293">
        <f ca="1">IF(H24="","",(VLOOKUP($D24,master_food_list,'Master Food List'!R$91,FALSE)))</f>
        <v>150</v>
      </c>
      <c r="J24" s="293">
        <f ca="1">IF(I24="","",(VLOOKUP($D24,master_food_list,'Master Food List'!S$91,FALSE)))</f>
        <v>0</v>
      </c>
      <c r="K24" s="293">
        <f ca="1">IF(J24="","",(VLOOKUP($D24,master_food_list,'Master Food List'!T$91,FALSE)))</f>
        <v>177.77777777777777</v>
      </c>
    </row>
    <row r="25" spans="1:11" customFormat="1" x14ac:dyDescent="0.2">
      <c r="A25" s="286">
        <v>2</v>
      </c>
      <c r="B25" s="287" t="s">
        <v>463</v>
      </c>
      <c r="C25" s="287" t="s">
        <v>455</v>
      </c>
      <c r="D25" s="289" t="s">
        <v>484</v>
      </c>
      <c r="E25" s="293">
        <f ca="1">IF(D25="","",(VLOOKUP($D25,master_food_list,'Master Food List'!N$91,FALSE)))</f>
        <v>540</v>
      </c>
      <c r="F25" s="293">
        <f ca="1">IF(E25="","",(VLOOKUP($D25,master_food_list,'Master Food List'!O$91,FALSE)))</f>
        <v>72</v>
      </c>
      <c r="G25" s="293">
        <f ca="1">IF(F25="","",(VLOOKUP($D25,master_food_list,'Master Food List'!P$91,FALSE)))</f>
        <v>14</v>
      </c>
      <c r="H25" s="293">
        <f ca="1">IF(G25="","",(VLOOKUP($D25,master_food_list,'Master Food List'!Q$91,FALSE)))</f>
        <v>22</v>
      </c>
      <c r="I25" s="293">
        <f ca="1">IF(H25="","",(VLOOKUP($D25,master_food_list,'Master Food List'!R$91,FALSE)))</f>
        <v>780</v>
      </c>
      <c r="J25" s="293">
        <f ca="1">IF(I25="","",(VLOOKUP($D25,master_food_list,'Master Food List'!S$91,FALSE)))</f>
        <v>0</v>
      </c>
      <c r="K25" s="293">
        <f ca="1">IF(J25="","",(VLOOKUP($D25,master_food_list,'Master Food List'!T$91,FALSE)))</f>
        <v>117.39130434782609</v>
      </c>
    </row>
    <row r="26" spans="1:11" customFormat="1" ht="32" x14ac:dyDescent="0.2">
      <c r="A26" s="286">
        <v>3</v>
      </c>
      <c r="B26" s="287" t="s">
        <v>463</v>
      </c>
      <c r="C26" s="287" t="s">
        <v>462</v>
      </c>
      <c r="D26" s="288" t="s">
        <v>485</v>
      </c>
      <c r="E26" s="293">
        <f ca="1">IF(D26="","",(VLOOKUP($D26,master_food_list,'Master Food List'!N$91,FALSE)))</f>
        <v>500</v>
      </c>
      <c r="F26" s="293">
        <f ca="1">IF(E26="","",(VLOOKUP($D26,master_food_list,'Master Food List'!O$91,FALSE)))</f>
        <v>74</v>
      </c>
      <c r="G26" s="293">
        <f ca="1">IF(F26="","",(VLOOKUP($D26,master_food_list,'Master Food List'!P$91,FALSE)))</f>
        <v>16</v>
      </c>
      <c r="H26" s="293">
        <f ca="1">IF(G26="","",(VLOOKUP($D26,master_food_list,'Master Food List'!Q$91,FALSE)))</f>
        <v>18</v>
      </c>
      <c r="I26" s="293">
        <f ca="1">IF(H26="","",(VLOOKUP($D26,master_food_list,'Master Food List'!R$91,FALSE)))</f>
        <v>130</v>
      </c>
      <c r="J26" s="293">
        <f ca="1">IF(I26="","",(VLOOKUP($D26,master_food_list,'Master Food List'!S$91,FALSE)))</f>
        <v>0</v>
      </c>
      <c r="K26" s="293">
        <f ca="1">IF(J26="","",(VLOOKUP($D26,master_food_list,'Master Food List'!T$91,FALSE)))</f>
        <v>126.55024044545685</v>
      </c>
    </row>
    <row r="27" spans="1:11" customFormat="1" ht="48" x14ac:dyDescent="0.2">
      <c r="A27" s="286">
        <v>3</v>
      </c>
      <c r="B27" s="287" t="s">
        <v>463</v>
      </c>
      <c r="C27" s="287" t="s">
        <v>461</v>
      </c>
      <c r="D27" s="288" t="s">
        <v>433</v>
      </c>
      <c r="E27" s="293">
        <f ca="1">IF(D27="","",(VLOOKUP($D27,master_food_list,'Master Food List'!N$91,FALSE)))</f>
        <v>280</v>
      </c>
      <c r="F27" s="293">
        <f ca="1">IF(E27="","",(VLOOKUP($D27,master_food_list,'Master Food List'!O$91,FALSE)))</f>
        <v>34</v>
      </c>
      <c r="G27" s="293">
        <f ca="1">IF(F27="","",(VLOOKUP($D27,master_food_list,'Master Food List'!P$91,FALSE)))</f>
        <v>2</v>
      </c>
      <c r="H27" s="293">
        <f ca="1">IF(G27="","",(VLOOKUP($D27,master_food_list,'Master Food List'!Q$91,FALSE)))</f>
        <v>17</v>
      </c>
      <c r="I27" s="293">
        <f ca="1">IF(H27="","",(VLOOKUP($D27,master_food_list,'Master Food List'!R$91,FALSE)))</f>
        <v>0</v>
      </c>
      <c r="J27" s="293">
        <f ca="1">IF(I27="","",(VLOOKUP($D27,master_food_list,'Master Food List'!S$91,FALSE)))</f>
        <v>0</v>
      </c>
      <c r="K27" s="293">
        <f ca="1">IF(J27="","",(VLOOKUP($D27,master_food_list,'Master Food List'!T$91,FALSE)))</f>
        <v>140</v>
      </c>
    </row>
    <row r="28" spans="1:11" customFormat="1" x14ac:dyDescent="0.2">
      <c r="A28" s="286">
        <v>3</v>
      </c>
      <c r="B28" s="287" t="s">
        <v>463</v>
      </c>
      <c r="C28" s="287" t="s">
        <v>460</v>
      </c>
      <c r="D28" s="289"/>
      <c r="E28" s="293" t="str">
        <f>IF(D28="","",(VLOOKUP($D28,master_food_list,'Master Food List'!N$91,FALSE)))</f>
        <v/>
      </c>
      <c r="F28" s="293" t="str">
        <f>IF(E28="","",(VLOOKUP($D28,master_food_list,'Master Food List'!O$91,FALSE)))</f>
        <v/>
      </c>
      <c r="G28" s="293" t="str">
        <f>IF(F28="","",(VLOOKUP($D28,master_food_list,'Master Food List'!P$91,FALSE)))</f>
        <v/>
      </c>
      <c r="H28" s="293" t="str">
        <f>IF(G28="","",(VLOOKUP($D28,master_food_list,'Master Food List'!Q$91,FALSE)))</f>
        <v/>
      </c>
      <c r="I28" s="293" t="str">
        <f>IF(H28="","",(VLOOKUP($D28,master_food_list,'Master Food List'!R$91,FALSE)))</f>
        <v/>
      </c>
      <c r="J28" s="293" t="str">
        <f>IF(I28="","",(VLOOKUP($D28,master_food_list,'Master Food List'!S$91,FALSE)))</f>
        <v/>
      </c>
      <c r="K28" s="293" t="str">
        <f>IF(J28="","",(VLOOKUP($D28,master_food_list,'Master Food List'!T$91,FALSE)))</f>
        <v/>
      </c>
    </row>
    <row r="29" spans="1:11" customFormat="1" ht="32" x14ac:dyDescent="0.2">
      <c r="A29" s="286">
        <v>3</v>
      </c>
      <c r="B29" s="287" t="s">
        <v>463</v>
      </c>
      <c r="C29" s="287" t="s">
        <v>459</v>
      </c>
      <c r="D29" s="288" t="s">
        <v>333</v>
      </c>
      <c r="E29" s="293">
        <f ca="1">IF(D29="","",(VLOOKUP($D29,master_food_list,'Master Food List'!N$91,FALSE)))</f>
        <v>325</v>
      </c>
      <c r="F29" s="293">
        <f ca="1">IF(E29="","",(VLOOKUP($D29,master_food_list,'Master Food List'!O$91,FALSE)))</f>
        <v>40</v>
      </c>
      <c r="G29" s="293">
        <f ca="1">IF(F29="","",(VLOOKUP($D29,master_food_list,'Master Food List'!P$91,FALSE)))</f>
        <v>2.5</v>
      </c>
      <c r="H29" s="293">
        <f ca="1">IF(G29="","",(VLOOKUP($D29,master_food_list,'Master Food List'!Q$91,FALSE)))</f>
        <v>17.5</v>
      </c>
      <c r="I29" s="293">
        <f ca="1">IF(H29="","",(VLOOKUP($D29,master_food_list,'Master Food List'!R$91,FALSE)))</f>
        <v>25</v>
      </c>
      <c r="J29" s="293">
        <f ca="1">IF(I29="","",(VLOOKUP($D29,master_food_list,'Master Food List'!S$91,FALSE)))</f>
        <v>0</v>
      </c>
      <c r="K29" s="293">
        <f ca="1">IF(J29="","",(VLOOKUP($D29,master_food_list,'Master Food List'!T$91,FALSE)))</f>
        <v>156.25</v>
      </c>
    </row>
    <row r="30" spans="1:11" customFormat="1" x14ac:dyDescent="0.2">
      <c r="A30" s="286">
        <v>3</v>
      </c>
      <c r="B30" s="287" t="s">
        <v>463</v>
      </c>
      <c r="C30" s="287" t="s">
        <v>458</v>
      </c>
      <c r="D30" s="289" t="s">
        <v>452</v>
      </c>
      <c r="E30" s="293">
        <f ca="1">IF(D30="","",(VLOOKUP($D30,master_food_list,'Master Food List'!N$91,FALSE)))</f>
        <v>620</v>
      </c>
      <c r="F30" s="293">
        <f ca="1">IF(E30="","",(VLOOKUP($D30,master_food_list,'Master Food List'!O$91,FALSE)))</f>
        <v>124</v>
      </c>
      <c r="G30" s="293">
        <f ca="1">IF(F30="","",(VLOOKUP($D30,master_food_list,'Master Food List'!P$91,FALSE)))</f>
        <v>22</v>
      </c>
      <c r="H30" s="293">
        <f ca="1">IF(G30="","",(VLOOKUP($D30,master_food_list,'Master Food List'!Q$91,FALSE)))</f>
        <v>7</v>
      </c>
      <c r="I30" s="293">
        <f ca="1">IF(H30="","",(VLOOKUP($D30,master_food_list,'Master Food List'!R$91,FALSE)))</f>
        <v>360</v>
      </c>
      <c r="J30" s="293">
        <f ca="1">IF(I30="","",(VLOOKUP($D30,master_food_list,'Master Food List'!S$91,FALSE)))</f>
        <v>0</v>
      </c>
      <c r="K30" s="293">
        <f ca="1">IF(J30="","",(VLOOKUP($D30,master_food_list,'Master Food List'!T$91,FALSE)))</f>
        <v>103.33333333333333</v>
      </c>
    </row>
    <row r="31" spans="1:11" customFormat="1" x14ac:dyDescent="0.2">
      <c r="A31" s="286">
        <v>3</v>
      </c>
      <c r="B31" s="287" t="s">
        <v>463</v>
      </c>
      <c r="C31" s="287" t="s">
        <v>457</v>
      </c>
      <c r="D31" s="289" t="s">
        <v>479</v>
      </c>
      <c r="E31" s="293">
        <f ca="1">IF(D31="","",(VLOOKUP($D31,master_food_list,'Master Food List'!N$91,FALSE)))</f>
        <v>300</v>
      </c>
      <c r="F31" s="293">
        <f ca="1">IF(E31="","",(VLOOKUP($D31,master_food_list,'Master Food List'!O$91,FALSE)))</f>
        <v>10.5</v>
      </c>
      <c r="G31" s="293">
        <f ca="1">IF(F31="","",(VLOOKUP($D31,master_food_list,'Master Food List'!P$91,FALSE)))</f>
        <v>10.5</v>
      </c>
      <c r="H31" s="293">
        <f ca="1">IF(G31="","",(VLOOKUP($D31,master_food_list,'Master Food List'!Q$91,FALSE)))</f>
        <v>25.5</v>
      </c>
      <c r="I31" s="293">
        <f ca="1">IF(H31="","",(VLOOKUP($D31,master_food_list,'Master Food List'!R$91,FALSE)))</f>
        <v>150</v>
      </c>
      <c r="J31" s="293">
        <f ca="1">IF(I31="","",(VLOOKUP($D31,master_food_list,'Master Food List'!S$91,FALSE)))</f>
        <v>0</v>
      </c>
      <c r="K31" s="293">
        <f ca="1">IF(J31="","",(VLOOKUP($D31,master_food_list,'Master Food List'!T$91,FALSE)))</f>
        <v>177.77777777777777</v>
      </c>
    </row>
    <row r="32" spans="1:11" customFormat="1" x14ac:dyDescent="0.2">
      <c r="A32" s="286">
        <v>3</v>
      </c>
      <c r="B32" s="287" t="s">
        <v>463</v>
      </c>
      <c r="C32" s="287" t="s">
        <v>455</v>
      </c>
      <c r="D32" s="289" t="s">
        <v>505</v>
      </c>
      <c r="E32" s="293">
        <f ca="1">IF(D32="","",(VLOOKUP($D32,master_food_list,'Master Food List'!N$91,FALSE)))</f>
        <v>500</v>
      </c>
      <c r="F32" s="293">
        <f ca="1">IF(E32="","",(VLOOKUP($D32,master_food_list,'Master Food List'!O$91,FALSE)))</f>
        <v>108</v>
      </c>
      <c r="G32" s="293">
        <f ca="1">IF(F32="","",(VLOOKUP($D32,master_food_list,'Master Food List'!P$91,FALSE)))</f>
        <v>10</v>
      </c>
      <c r="H32" s="293">
        <f ca="1">IF(G32="","",(VLOOKUP($D32,master_food_list,'Master Food List'!Q$91,FALSE)))</f>
        <v>5</v>
      </c>
      <c r="I32" s="293">
        <f ca="1">IF(H32="","",(VLOOKUP($D32,master_food_list,'Master Food List'!R$91,FALSE)))</f>
        <v>680</v>
      </c>
      <c r="J32" s="293">
        <f ca="1">IF(I32="","",(VLOOKUP($D32,master_food_list,'Master Food List'!S$91,FALSE)))</f>
        <v>0</v>
      </c>
      <c r="K32" s="293">
        <f ca="1">IF(J32="","",(VLOOKUP($D32,master_food_list,'Master Food List'!T$91,FALSE)))</f>
        <v>111.11111111111111</v>
      </c>
    </row>
    <row r="33" spans="1:11" s="189" customFormat="1" ht="32" x14ac:dyDescent="0.2">
      <c r="A33" s="290">
        <v>4</v>
      </c>
      <c r="B33" s="283" t="s">
        <v>463</v>
      </c>
      <c r="C33" s="283" t="s">
        <v>462</v>
      </c>
      <c r="D33" s="284" t="s">
        <v>480</v>
      </c>
      <c r="E33" s="292">
        <f ca="1">IF(D33="","",(VLOOKUP($D33,master_food_list,'Master Food List'!N$91,FALSE)))</f>
        <v>620</v>
      </c>
      <c r="F33" s="292">
        <f ca="1">IF(E33="","",(VLOOKUP($D33,master_food_list,'Master Food List'!O$91,FALSE)))</f>
        <v>74</v>
      </c>
      <c r="G33" s="292">
        <f ca="1">IF(F33="","",(VLOOKUP($D33,master_food_list,'Master Food List'!P$91,FALSE)))</f>
        <v>16</v>
      </c>
      <c r="H33" s="292">
        <f ca="1">IF(G33="","",(VLOOKUP($D33,master_food_list,'Master Food List'!Q$91,FALSE)))</f>
        <v>31</v>
      </c>
      <c r="I33" s="292">
        <f ca="1">IF(H33="","",(VLOOKUP($D33,master_food_list,'Master Food List'!R$91,FALSE)))</f>
        <v>280</v>
      </c>
      <c r="J33" s="292">
        <f ca="1">IF(I33="","",(VLOOKUP($D33,master_food_list,'Master Food List'!S$91,FALSE)))</f>
        <v>0</v>
      </c>
      <c r="K33" s="292">
        <f ca="1">IF(J33="","",(VLOOKUP($D33,master_food_list,'Master Food List'!T$91,FALSE)))</f>
        <v>130.52631578947367</v>
      </c>
    </row>
    <row r="34" spans="1:11" s="189" customFormat="1" ht="48" x14ac:dyDescent="0.2">
      <c r="A34" s="282">
        <v>4</v>
      </c>
      <c r="B34" s="283" t="s">
        <v>463</v>
      </c>
      <c r="C34" s="283" t="s">
        <v>461</v>
      </c>
      <c r="D34" s="284" t="s">
        <v>430</v>
      </c>
      <c r="E34" s="292">
        <f ca="1">IF(D34="","",(VLOOKUP($D34,master_food_list,'Master Food List'!N$91,FALSE)))</f>
        <v>510</v>
      </c>
      <c r="F34" s="292">
        <f ca="1">IF(E34="","",(VLOOKUP($D34,master_food_list,'Master Food List'!O$91,FALSE)))</f>
        <v>42</v>
      </c>
      <c r="G34" s="292">
        <f ca="1">IF(F34="","",(VLOOKUP($D34,master_food_list,'Master Food List'!P$91,FALSE)))</f>
        <v>10.5</v>
      </c>
      <c r="H34" s="292">
        <f ca="1">IF(G34="","",(VLOOKUP($D34,master_food_list,'Master Food List'!Q$91,FALSE)))</f>
        <v>33</v>
      </c>
      <c r="I34" s="292">
        <f ca="1">IF(H34="","",(VLOOKUP($D34,master_food_list,'Master Food List'!R$91,FALSE)))</f>
        <v>75</v>
      </c>
      <c r="J34" s="292">
        <f ca="1">IF(I34="","",(VLOOKUP($D34,master_food_list,'Master Food List'!S$91,FALSE)))</f>
        <v>0</v>
      </c>
      <c r="K34" s="292">
        <f ca="1">IF(J34="","",(VLOOKUP($D34,master_food_list,'Master Food List'!T$91,FALSE)))</f>
        <v>170</v>
      </c>
    </row>
    <row r="35" spans="1:11" s="189" customFormat="1" x14ac:dyDescent="0.2">
      <c r="A35" s="282">
        <v>4</v>
      </c>
      <c r="B35" s="283" t="s">
        <v>463</v>
      </c>
      <c r="C35" s="283" t="s">
        <v>460</v>
      </c>
      <c r="D35" s="285"/>
      <c r="E35" s="292" t="str">
        <f>IF(D35="","",(VLOOKUP($D35,master_food_list,'Master Food List'!N$91,FALSE)))</f>
        <v/>
      </c>
      <c r="F35" s="292" t="str">
        <f>IF(E35="","",(VLOOKUP($D35,master_food_list,'Master Food List'!O$91,FALSE)))</f>
        <v/>
      </c>
      <c r="G35" s="292" t="str">
        <f>IF(F35="","",(VLOOKUP($D35,master_food_list,'Master Food List'!P$91,FALSE)))</f>
        <v/>
      </c>
      <c r="H35" s="292" t="str">
        <f>IF(G35="","",(VLOOKUP($D35,master_food_list,'Master Food List'!Q$91,FALSE)))</f>
        <v/>
      </c>
      <c r="I35" s="292" t="str">
        <f>IF(H35="","",(VLOOKUP($D35,master_food_list,'Master Food List'!R$91,FALSE)))</f>
        <v/>
      </c>
      <c r="J35" s="292" t="str">
        <f>IF(I35="","",(VLOOKUP($D35,master_food_list,'Master Food List'!S$91,FALSE)))</f>
        <v/>
      </c>
      <c r="K35" s="292" t="str">
        <f>IF(J35="","",(VLOOKUP($D35,master_food_list,'Master Food List'!T$91,FALSE)))</f>
        <v/>
      </c>
    </row>
    <row r="36" spans="1:11" s="189" customFormat="1" ht="32" x14ac:dyDescent="0.2">
      <c r="A36" s="282">
        <v>4</v>
      </c>
      <c r="B36" s="283" t="s">
        <v>463</v>
      </c>
      <c r="C36" s="283" t="s">
        <v>459</v>
      </c>
      <c r="D36" s="284" t="s">
        <v>347</v>
      </c>
      <c r="E36" s="292">
        <f ca="1">IF(D36="","",(VLOOKUP($D36,master_food_list,'Master Food List'!N$91,FALSE)))</f>
        <v>665</v>
      </c>
      <c r="F36" s="292">
        <f ca="1">IF(E36="","",(VLOOKUP($D36,master_food_list,'Master Food List'!O$91,FALSE)))</f>
        <v>0</v>
      </c>
      <c r="G36" s="292">
        <f ca="1">IF(F36="","",(VLOOKUP($D36,master_food_list,'Master Food List'!P$91,FALSE)))</f>
        <v>35</v>
      </c>
      <c r="H36" s="292">
        <f ca="1">IF(G36="","",(VLOOKUP($D36,master_food_list,'Master Food List'!Q$91,FALSE)))</f>
        <v>56</v>
      </c>
      <c r="I36" s="292">
        <f ca="1">IF(H36="","",(VLOOKUP($D36,master_food_list,'Master Food List'!R$91,FALSE)))</f>
        <v>2415</v>
      </c>
      <c r="J36" s="292">
        <f ca="1">IF(I36="","",(VLOOKUP($D36,master_food_list,'Master Food List'!S$91,FALSE)))</f>
        <v>0</v>
      </c>
      <c r="K36" s="292">
        <f ca="1">IF(J36="","",(VLOOKUP($D36,master_food_list,'Master Food List'!T$91,FALSE)))</f>
        <v>180.70652173913044</v>
      </c>
    </row>
    <row r="37" spans="1:11" s="189" customFormat="1" ht="17" x14ac:dyDescent="0.2">
      <c r="A37" s="282">
        <v>4</v>
      </c>
      <c r="B37" s="283" t="s">
        <v>463</v>
      </c>
      <c r="C37" s="283" t="s">
        <v>458</v>
      </c>
      <c r="D37" s="285" t="s">
        <v>294</v>
      </c>
      <c r="E37" s="292">
        <f ca="1">IF(D37="","",(VLOOKUP($D37,master_food_list,'Master Food List'!N$91,FALSE)))</f>
        <v>960</v>
      </c>
      <c r="F37" s="292">
        <f ca="1">IF(E37="","",(VLOOKUP($D37,master_food_list,'Master Food List'!O$91,FALSE)))</f>
        <v>93</v>
      </c>
      <c r="G37" s="292">
        <f ca="1">IF(F37="","",(VLOOKUP($D37,master_food_list,'Master Food List'!P$91,FALSE)))</f>
        <v>39</v>
      </c>
      <c r="H37" s="292">
        <f ca="1">IF(G37="","",(VLOOKUP($D37,master_food_list,'Master Food List'!Q$91,FALSE)))</f>
        <v>45</v>
      </c>
      <c r="I37" s="292">
        <f ca="1">IF(H37="","",(VLOOKUP($D37,master_food_list,'Master Food List'!R$91,FALSE)))</f>
        <v>2040</v>
      </c>
      <c r="J37" s="292">
        <f ca="1">IF(I37="","",(VLOOKUP($D37,master_food_list,'Master Food List'!S$91,FALSE)))</f>
        <v>0</v>
      </c>
      <c r="K37" s="292">
        <f ca="1">IF(J37="","",(VLOOKUP($D37,master_food_list,'Master Food List'!T$91,FALSE)))</f>
        <v>141.03819784524975</v>
      </c>
    </row>
    <row r="38" spans="1:11" s="189" customFormat="1" ht="17" x14ac:dyDescent="0.2">
      <c r="A38" s="282">
        <v>4</v>
      </c>
      <c r="B38" s="283" t="s">
        <v>463</v>
      </c>
      <c r="C38" s="283" t="s">
        <v>457</v>
      </c>
      <c r="D38" s="285" t="s">
        <v>479</v>
      </c>
      <c r="E38" s="292">
        <f ca="1">IF(D38="","",(VLOOKUP($D38,master_food_list,'Master Food List'!N$91,FALSE)))</f>
        <v>300</v>
      </c>
      <c r="F38" s="292">
        <f ca="1">IF(E38="","",(VLOOKUP($D38,master_food_list,'Master Food List'!O$91,FALSE)))</f>
        <v>10.5</v>
      </c>
      <c r="G38" s="292">
        <f ca="1">IF(F38="","",(VLOOKUP($D38,master_food_list,'Master Food List'!P$91,FALSE)))</f>
        <v>10.5</v>
      </c>
      <c r="H38" s="292">
        <f ca="1">IF(G38="","",(VLOOKUP($D38,master_food_list,'Master Food List'!Q$91,FALSE)))</f>
        <v>25.5</v>
      </c>
      <c r="I38" s="292">
        <f ca="1">IF(H38="","",(VLOOKUP($D38,master_food_list,'Master Food List'!R$91,FALSE)))</f>
        <v>150</v>
      </c>
      <c r="J38" s="292">
        <f ca="1">IF(I38="","",(VLOOKUP($D38,master_food_list,'Master Food List'!S$91,FALSE)))</f>
        <v>0</v>
      </c>
      <c r="K38" s="292">
        <f ca="1">IF(J38="","",(VLOOKUP($D38,master_food_list,'Master Food List'!T$91,FALSE)))</f>
        <v>177.77777777777777</v>
      </c>
    </row>
    <row r="39" spans="1:11" s="189" customFormat="1" ht="17" x14ac:dyDescent="0.2">
      <c r="A39" s="282">
        <v>4</v>
      </c>
      <c r="B39" s="283" t="s">
        <v>463</v>
      </c>
      <c r="C39" s="283" t="s">
        <v>455</v>
      </c>
      <c r="D39" s="285" t="s">
        <v>313</v>
      </c>
      <c r="E39" s="292">
        <f ca="1">IF(D39="","",(VLOOKUP($D39,master_food_list,'Master Food List'!N$91,FALSE)))</f>
        <v>170</v>
      </c>
      <c r="F39" s="292">
        <f ca="1">IF(E39="","",(VLOOKUP($D39,master_food_list,'Master Food List'!O$91,FALSE)))</f>
        <v>28</v>
      </c>
      <c r="G39" s="292">
        <f ca="1">IF(F39="","",(VLOOKUP($D39,master_food_list,'Master Food List'!P$91,FALSE)))</f>
        <v>2</v>
      </c>
      <c r="H39" s="292">
        <f ca="1">IF(G39="","",(VLOOKUP($D39,master_food_list,'Master Food List'!Q$91,FALSE)))</f>
        <v>6</v>
      </c>
      <c r="I39" s="292">
        <f ca="1">IF(H39="","",(VLOOKUP($D39,master_food_list,'Master Food List'!R$91,FALSE)))</f>
        <v>135</v>
      </c>
      <c r="J39" s="292">
        <f ca="1">IF(I39="","",(VLOOKUP($D39,master_food_list,'Master Food List'!S$91,FALSE)))</f>
        <v>0</v>
      </c>
      <c r="K39" s="292">
        <f ca="1">IF(J39="","",(VLOOKUP($D39,master_food_list,'Master Food List'!T$91,FALSE)))</f>
        <v>150.44247787610621</v>
      </c>
    </row>
    <row r="40" spans="1:11" customFormat="1" ht="17" x14ac:dyDescent="0.2">
      <c r="A40" s="286">
        <v>5</v>
      </c>
      <c r="B40" s="287" t="s">
        <v>463</v>
      </c>
      <c r="C40" s="287" t="s">
        <v>462</v>
      </c>
      <c r="D40" s="288" t="s">
        <v>414</v>
      </c>
      <c r="E40" s="293">
        <f ca="1">IF(D40="","",(VLOOKUP($D40,master_food_list,'Master Food List'!N$91,FALSE)))</f>
        <v>250</v>
      </c>
      <c r="F40" s="293">
        <f ca="1">IF(E40="","",(VLOOKUP($D40,master_food_list,'Master Food List'!O$91,FALSE)))</f>
        <v>33</v>
      </c>
      <c r="G40" s="293">
        <f ca="1">IF(F40="","",(VLOOKUP($D40,master_food_list,'Master Food List'!P$91,FALSE)))</f>
        <v>4</v>
      </c>
      <c r="H40" s="293">
        <f ca="1">IF(G40="","",(VLOOKUP($D40,master_food_list,'Master Food List'!Q$91,FALSE)))</f>
        <v>12</v>
      </c>
      <c r="I40" s="293">
        <f ca="1">IF(H40="","",(VLOOKUP($D40,master_food_list,'Master Food List'!R$91,FALSE)))</f>
        <v>120</v>
      </c>
      <c r="J40" s="293">
        <f ca="1">IF(I40="","",(VLOOKUP($D40,master_food_list,'Master Food List'!S$91,FALSE)))</f>
        <v>0</v>
      </c>
      <c r="K40" s="293">
        <f ca="1">IF(J40="","",(VLOOKUP($D40,master_food_list,'Master Food List'!T$91,FALSE)))</f>
        <v>134.40860215053763</v>
      </c>
    </row>
    <row r="41" spans="1:11" customFormat="1" ht="34" x14ac:dyDescent="0.2">
      <c r="A41" s="286">
        <v>5</v>
      </c>
      <c r="B41" s="287" t="s">
        <v>463</v>
      </c>
      <c r="C41" s="287" t="s">
        <v>461</v>
      </c>
      <c r="D41" s="288" t="s">
        <v>354</v>
      </c>
      <c r="E41" s="293">
        <f ca="1">IF(D41="","",(VLOOKUP($D41,master_food_list,'Master Food List'!N$91,FALSE)))</f>
        <v>270</v>
      </c>
      <c r="F41" s="293">
        <f ca="1">IF(E41="","",(VLOOKUP($D41,master_food_list,'Master Food List'!O$91,FALSE)))</f>
        <v>72</v>
      </c>
      <c r="G41" s="293">
        <f ca="1">IF(F41="","",(VLOOKUP($D41,master_food_list,'Master Food List'!P$91,FALSE)))</f>
        <v>3</v>
      </c>
      <c r="H41" s="293">
        <f ca="1">IF(G41="","",(VLOOKUP($D41,master_food_list,'Master Food List'!Q$91,FALSE)))</f>
        <v>0</v>
      </c>
      <c r="I41" s="293">
        <f ca="1">IF(H41="","",(VLOOKUP($D41,master_food_list,'Master Food List'!R$91,FALSE)))</f>
        <v>0</v>
      </c>
      <c r="J41" s="293">
        <f ca="1">IF(I41="","",(VLOOKUP($D41,master_food_list,'Master Food List'!S$91,FALSE)))</f>
        <v>0</v>
      </c>
      <c r="K41" s="293">
        <f ca="1">IF(J41="","",(VLOOKUP($D41,master_food_list,'Master Food List'!T$91,FALSE)))</f>
        <v>112.5</v>
      </c>
    </row>
    <row r="42" spans="1:11" customFormat="1" ht="17" x14ac:dyDescent="0.2">
      <c r="A42" s="286">
        <v>5</v>
      </c>
      <c r="B42" s="287" t="s">
        <v>463</v>
      </c>
      <c r="C42" s="287" t="s">
        <v>460</v>
      </c>
      <c r="D42" s="289"/>
      <c r="E42" s="293" t="str">
        <f>IF(D42="","",(VLOOKUP($D42,master_food_list,'Master Food List'!N$91,FALSE)))</f>
        <v/>
      </c>
      <c r="F42" s="293" t="str">
        <f>IF(E42="","",(VLOOKUP($D42,master_food_list,'Master Food List'!O$91,FALSE)))</f>
        <v/>
      </c>
      <c r="G42" s="293" t="str">
        <f>IF(F42="","",(VLOOKUP($D42,master_food_list,'Master Food List'!P$91,FALSE)))</f>
        <v/>
      </c>
      <c r="H42" s="293" t="str">
        <f>IF(G42="","",(VLOOKUP($D42,master_food_list,'Master Food List'!Q$91,FALSE)))</f>
        <v/>
      </c>
      <c r="I42" s="293" t="str">
        <f>IF(H42="","",(VLOOKUP($D42,master_food_list,'Master Food List'!R$91,FALSE)))</f>
        <v/>
      </c>
      <c r="J42" s="293" t="str">
        <f>IF(I42="","",(VLOOKUP($D42,master_food_list,'Master Food List'!S$91,FALSE)))</f>
        <v/>
      </c>
      <c r="K42" s="293" t="str">
        <f>IF(J42="","",(VLOOKUP($D42,master_food_list,'Master Food List'!T$91,FALSE)))</f>
        <v/>
      </c>
    </row>
    <row r="43" spans="1:11" customFormat="1" ht="34" x14ac:dyDescent="0.2">
      <c r="A43" s="286">
        <v>5</v>
      </c>
      <c r="B43" s="287" t="s">
        <v>463</v>
      </c>
      <c r="C43" s="287" t="s">
        <v>459</v>
      </c>
      <c r="D43" s="288" t="s">
        <v>487</v>
      </c>
      <c r="E43" s="293">
        <f ca="1">IF(D43="","",(VLOOKUP($D43,master_food_list,'Master Food List'!N$91,FALSE)))</f>
        <v>225</v>
      </c>
      <c r="F43" s="293">
        <f ca="1">IF(E43="","",(VLOOKUP($D43,master_food_list,'Master Food List'!O$91,FALSE)))</f>
        <v>30</v>
      </c>
      <c r="G43" s="293">
        <f ca="1">IF(F43="","",(VLOOKUP($D43,master_food_list,'Master Food List'!P$91,FALSE)))</f>
        <v>20</v>
      </c>
      <c r="H43" s="293">
        <f ca="1">IF(G43="","",(VLOOKUP($D43,master_food_list,'Master Food List'!Q$91,FALSE)))</f>
        <v>3.75</v>
      </c>
      <c r="I43" s="293">
        <f ca="1">IF(H43="","",(VLOOKUP($D43,master_food_list,'Master Food List'!R$91,FALSE)))</f>
        <v>950</v>
      </c>
      <c r="J43" s="293">
        <f ca="1">IF(I43="","",(VLOOKUP($D43,master_food_list,'Master Food List'!S$91,FALSE)))</f>
        <v>0</v>
      </c>
      <c r="K43" s="293">
        <f ca="1">IF(J43="","",(VLOOKUP($D43,master_food_list,'Master Food List'!T$91,FALSE)))</f>
        <v>83.333333333333329</v>
      </c>
    </row>
    <row r="44" spans="1:11" customFormat="1" ht="17" x14ac:dyDescent="0.2">
      <c r="A44" s="286">
        <v>5</v>
      </c>
      <c r="B44" s="287" t="s">
        <v>463</v>
      </c>
      <c r="C44" s="287" t="s">
        <v>458</v>
      </c>
      <c r="D44" s="289" t="s">
        <v>486</v>
      </c>
      <c r="E44" s="293">
        <f ca="1">IF(D44="","",(VLOOKUP($D44,master_food_list,'Master Food List'!N$91,FALSE)))</f>
        <v>960</v>
      </c>
      <c r="F44" s="293">
        <f ca="1">IF(E44="","",(VLOOKUP($D44,master_food_list,'Master Food List'!O$91,FALSE)))</f>
        <v>178</v>
      </c>
      <c r="G44" s="293">
        <f ca="1">IF(F44="","",(VLOOKUP($D44,master_food_list,'Master Food List'!P$91,FALSE)))</f>
        <v>34</v>
      </c>
      <c r="H44" s="293">
        <f ca="1">IF(G44="","",(VLOOKUP($D44,master_food_list,'Master Food List'!Q$91,FALSE)))</f>
        <v>12</v>
      </c>
      <c r="I44" s="293">
        <f ca="1">IF(H44="","",(VLOOKUP($D44,master_food_list,'Master Food List'!R$91,FALSE)))</f>
        <v>1620</v>
      </c>
      <c r="J44" s="293">
        <f ca="1">IF(I44="","",(VLOOKUP($D44,master_food_list,'Master Food List'!S$91,FALSE)))</f>
        <v>0</v>
      </c>
      <c r="K44" s="293">
        <f ca="1">IF(J44="","",(VLOOKUP($D44,master_food_list,'Master Food List'!T$91,FALSE)))</f>
        <v>109.09090909090908</v>
      </c>
    </row>
    <row r="45" spans="1:11" customFormat="1" ht="17" x14ac:dyDescent="0.2">
      <c r="A45" s="286">
        <v>5</v>
      </c>
      <c r="B45" s="287" t="s">
        <v>463</v>
      </c>
      <c r="C45" s="287" t="s">
        <v>457</v>
      </c>
      <c r="D45" s="289" t="s">
        <v>479</v>
      </c>
      <c r="E45" s="293">
        <f ca="1">IF(D45="","",(VLOOKUP($D45,master_food_list,'Master Food List'!N$91,FALSE)))</f>
        <v>300</v>
      </c>
      <c r="F45" s="293">
        <f ca="1">IF(E45="","",(VLOOKUP($D45,master_food_list,'Master Food List'!O$91,FALSE)))</f>
        <v>10.5</v>
      </c>
      <c r="G45" s="293">
        <f ca="1">IF(F45="","",(VLOOKUP($D45,master_food_list,'Master Food List'!P$91,FALSE)))</f>
        <v>10.5</v>
      </c>
      <c r="H45" s="293">
        <f ca="1">IF(G45="","",(VLOOKUP($D45,master_food_list,'Master Food List'!Q$91,FALSE)))</f>
        <v>25.5</v>
      </c>
      <c r="I45" s="293">
        <f ca="1">IF(H45="","",(VLOOKUP($D45,master_food_list,'Master Food List'!R$91,FALSE)))</f>
        <v>150</v>
      </c>
      <c r="J45" s="293">
        <f ca="1">IF(I45="","",(VLOOKUP($D45,master_food_list,'Master Food List'!S$91,FALSE)))</f>
        <v>0</v>
      </c>
      <c r="K45" s="293">
        <f ca="1">IF(J45="","",(VLOOKUP($D45,master_food_list,'Master Food List'!T$91,FALSE)))</f>
        <v>177.77777777777777</v>
      </c>
    </row>
    <row r="46" spans="1:11" customFormat="1" ht="17" x14ac:dyDescent="0.2">
      <c r="A46" s="286">
        <v>5</v>
      </c>
      <c r="B46" s="287" t="s">
        <v>463</v>
      </c>
      <c r="C46" s="287" t="s">
        <v>455</v>
      </c>
      <c r="D46" s="289" t="s">
        <v>482</v>
      </c>
      <c r="E46" s="293">
        <f ca="1">IF(D46="","",(VLOOKUP($D46,master_food_list,'Master Food List'!N$91,FALSE)))</f>
        <v>110</v>
      </c>
      <c r="F46" s="293">
        <f ca="1">IF(E46="","",(VLOOKUP($D46,master_food_list,'Master Food List'!O$91,FALSE)))</f>
        <v>21</v>
      </c>
      <c r="G46" s="293">
        <f ca="1">IF(F46="","",(VLOOKUP($D46,master_food_list,'Master Food List'!P$91,FALSE)))</f>
        <v>1</v>
      </c>
      <c r="H46" s="293">
        <f ca="1">IF(G46="","",(VLOOKUP($D46,master_food_list,'Master Food List'!Q$91,FALSE)))</f>
        <v>2</v>
      </c>
      <c r="I46" s="293">
        <f ca="1">IF(H46="","",(VLOOKUP($D46,master_food_list,'Master Food List'!R$91,FALSE)))</f>
        <v>150</v>
      </c>
      <c r="J46" s="293">
        <f ca="1">IF(I46="","",(VLOOKUP($D46,master_food_list,'Master Food List'!S$91,FALSE)))</f>
        <v>0</v>
      </c>
      <c r="K46" s="293">
        <f ca="1">IF(J46="","",(VLOOKUP($D46,master_food_list,'Master Food List'!T$91,FALSE)))</f>
        <v>118.27956989247312</v>
      </c>
    </row>
    <row r="47" spans="1:11" customFormat="1" ht="17" x14ac:dyDescent="0.2">
      <c r="A47" s="286">
        <v>6</v>
      </c>
      <c r="B47" s="287" t="s">
        <v>463</v>
      </c>
      <c r="C47" s="287" t="s">
        <v>462</v>
      </c>
      <c r="D47" s="288" t="s">
        <v>481</v>
      </c>
      <c r="E47" s="293">
        <f ca="1">IF(D47="","",(VLOOKUP($D47,master_food_list,'Master Food List'!N$91,FALSE)))</f>
        <v>400</v>
      </c>
      <c r="F47" s="293">
        <f ca="1">IF(E47="","",(VLOOKUP($D47,master_food_list,'Master Food List'!O$91,FALSE)))</f>
        <v>72</v>
      </c>
      <c r="G47" s="293">
        <f ca="1">IF(F47="","",(VLOOKUP($D47,master_food_list,'Master Food List'!P$91,FALSE)))</f>
        <v>6</v>
      </c>
      <c r="H47" s="293">
        <f ca="1">IF(G47="","",(VLOOKUP($D47,master_food_list,'Master Food List'!Q$91,FALSE)))</f>
        <v>10</v>
      </c>
      <c r="I47" s="293">
        <f ca="1">IF(H47="","",(VLOOKUP($D47,master_food_list,'Master Food List'!R$91,FALSE)))</f>
        <v>420</v>
      </c>
      <c r="J47" s="293">
        <f ca="1">IF(I47="","",(VLOOKUP($D47,master_food_list,'Master Food List'!S$91,FALSE)))</f>
        <v>0</v>
      </c>
      <c r="K47" s="293">
        <f ca="1">IF(J47="","",(VLOOKUP($D47,master_food_list,'Master Food List'!T$91,FALSE)))</f>
        <v>109.09090909090909</v>
      </c>
    </row>
    <row r="48" spans="1:11" customFormat="1" ht="34" x14ac:dyDescent="0.2">
      <c r="A48" s="286">
        <v>6</v>
      </c>
      <c r="B48" s="287" t="s">
        <v>463</v>
      </c>
      <c r="C48" s="287" t="s">
        <v>461</v>
      </c>
      <c r="D48" s="288" t="s">
        <v>333</v>
      </c>
      <c r="E48" s="293">
        <f ca="1">IF(D48="","",(VLOOKUP($D48,master_food_list,'Master Food List'!N$91,FALSE)))</f>
        <v>325</v>
      </c>
      <c r="F48" s="293">
        <f ca="1">IF(E48="","",(VLOOKUP($D48,master_food_list,'Master Food List'!O$91,FALSE)))</f>
        <v>40</v>
      </c>
      <c r="G48" s="293">
        <f ca="1">IF(F48="","",(VLOOKUP($D48,master_food_list,'Master Food List'!P$91,FALSE)))</f>
        <v>2.5</v>
      </c>
      <c r="H48" s="293">
        <f ca="1">IF(G48="","",(VLOOKUP($D48,master_food_list,'Master Food List'!Q$91,FALSE)))</f>
        <v>17.5</v>
      </c>
      <c r="I48" s="293">
        <f ca="1">IF(H48="","",(VLOOKUP($D48,master_food_list,'Master Food List'!R$91,FALSE)))</f>
        <v>25</v>
      </c>
      <c r="J48" s="293">
        <f ca="1">IF(I48="","",(VLOOKUP($D48,master_food_list,'Master Food List'!S$91,FALSE)))</f>
        <v>0</v>
      </c>
      <c r="K48" s="293">
        <f ca="1">IF(J48="","",(VLOOKUP($D48,master_food_list,'Master Food List'!T$91,FALSE)))</f>
        <v>156.25</v>
      </c>
    </row>
    <row r="49" spans="1:11" customFormat="1" ht="17" x14ac:dyDescent="0.2">
      <c r="A49" s="286">
        <v>6</v>
      </c>
      <c r="B49" s="287" t="s">
        <v>463</v>
      </c>
      <c r="C49" s="287" t="s">
        <v>460</v>
      </c>
      <c r="D49" s="289"/>
      <c r="E49" s="293" t="str">
        <f>IF(D49="","",(VLOOKUP($D49,master_food_list,'Master Food List'!N$91,FALSE)))</f>
        <v/>
      </c>
      <c r="F49" s="293" t="str">
        <f>IF(E49="","",(VLOOKUP($D49,master_food_list,'Master Food List'!O$91,FALSE)))</f>
        <v/>
      </c>
      <c r="G49" s="293" t="str">
        <f>IF(F49="","",(VLOOKUP($D49,master_food_list,'Master Food List'!P$91,FALSE)))</f>
        <v/>
      </c>
      <c r="H49" s="293" t="str">
        <f>IF(G49="","",(VLOOKUP($D49,master_food_list,'Master Food List'!Q$91,FALSE)))</f>
        <v/>
      </c>
      <c r="I49" s="293" t="str">
        <f>IF(H49="","",(VLOOKUP($D49,master_food_list,'Master Food List'!R$91,FALSE)))</f>
        <v/>
      </c>
      <c r="J49" s="293" t="str">
        <f>IF(I49="","",(VLOOKUP($D49,master_food_list,'Master Food List'!S$91,FALSE)))</f>
        <v/>
      </c>
      <c r="K49" s="293" t="str">
        <f>IF(J49="","",(VLOOKUP($D49,master_food_list,'Master Food List'!T$91,FALSE)))</f>
        <v/>
      </c>
    </row>
    <row r="50" spans="1:11" customFormat="1" ht="34" x14ac:dyDescent="0.2">
      <c r="A50" s="286">
        <v>6</v>
      </c>
      <c r="B50" s="287" t="s">
        <v>463</v>
      </c>
      <c r="C50" s="287" t="s">
        <v>459</v>
      </c>
      <c r="D50" s="288" t="s">
        <v>489</v>
      </c>
      <c r="E50" s="293">
        <f ca="1">IF(D50="","",(VLOOKUP($D50,master_food_list,'Master Food List'!N$91,FALSE)))</f>
        <v>200</v>
      </c>
      <c r="F50" s="293">
        <f ca="1">IF(E50="","",(VLOOKUP($D50,master_food_list,'Master Food List'!O$91,FALSE)))</f>
        <v>25</v>
      </c>
      <c r="G50" s="293">
        <f ca="1">IF(F50="","",(VLOOKUP($D50,master_food_list,'Master Food List'!P$91,FALSE)))</f>
        <v>22.5</v>
      </c>
      <c r="H50" s="293">
        <f ca="1">IF(G50="","",(VLOOKUP($D50,master_food_list,'Master Food List'!Q$91,FALSE)))</f>
        <v>1.25</v>
      </c>
      <c r="I50" s="293">
        <f ca="1">IF(H50="","",(VLOOKUP($D50,master_food_list,'Master Food List'!R$91,FALSE)))</f>
        <v>800</v>
      </c>
      <c r="J50" s="293">
        <f ca="1">IF(I50="","",(VLOOKUP($D50,master_food_list,'Master Food List'!S$91,FALSE)))</f>
        <v>0</v>
      </c>
      <c r="K50" s="293">
        <f ca="1">IF(J50="","",(VLOOKUP($D50,master_food_list,'Master Food List'!T$91,FALSE)))</f>
        <v>74.074074074074076</v>
      </c>
    </row>
    <row r="51" spans="1:11" customFormat="1" ht="17" x14ac:dyDescent="0.2">
      <c r="A51" s="286">
        <v>6</v>
      </c>
      <c r="B51" s="287" t="s">
        <v>463</v>
      </c>
      <c r="C51" s="287" t="s">
        <v>458</v>
      </c>
      <c r="D51" s="289" t="s">
        <v>409</v>
      </c>
      <c r="E51" s="293">
        <f ca="1">IF(D51="","",(VLOOKUP($D51,master_food_list,'Master Food List'!N$91,FALSE)))</f>
        <v>480</v>
      </c>
      <c r="F51" s="293">
        <f ca="1">IF(E51="","",(VLOOKUP($D51,master_food_list,'Master Food List'!O$91,FALSE)))</f>
        <v>84</v>
      </c>
      <c r="G51" s="293">
        <f ca="1">IF(F51="","",(VLOOKUP($D51,master_food_list,'Master Food List'!P$91,FALSE)))</f>
        <v>30</v>
      </c>
      <c r="H51" s="293">
        <f ca="1">IF(G51="","",(VLOOKUP($D51,master_food_list,'Master Food List'!Q$91,FALSE)))</f>
        <v>3</v>
      </c>
      <c r="I51" s="293">
        <f ca="1">IF(H51="","",(VLOOKUP($D51,master_food_list,'Master Food List'!R$91,FALSE)))</f>
        <v>1530</v>
      </c>
      <c r="J51" s="293">
        <f ca="1">IF(I51="","",(VLOOKUP($D51,master_food_list,'Master Food List'!S$91,FALSE)))</f>
        <v>0</v>
      </c>
      <c r="K51" s="293">
        <f ca="1">IF(J51="","",(VLOOKUP($D51,master_food_list,'Master Food List'!T$91,FALSE)))</f>
        <v>101.93905817174515</v>
      </c>
    </row>
    <row r="52" spans="1:11" customFormat="1" ht="17" x14ac:dyDescent="0.2">
      <c r="A52" s="286">
        <v>6</v>
      </c>
      <c r="B52" s="287" t="s">
        <v>463</v>
      </c>
      <c r="C52" s="287" t="s">
        <v>457</v>
      </c>
      <c r="D52" s="289" t="s">
        <v>479</v>
      </c>
      <c r="E52" s="293">
        <f ca="1">IF(D52="","",(VLOOKUP($D52,master_food_list,'Master Food List'!N$91,FALSE)))</f>
        <v>300</v>
      </c>
      <c r="F52" s="293">
        <f ca="1">IF(E52="","",(VLOOKUP($D52,master_food_list,'Master Food List'!O$91,FALSE)))</f>
        <v>10.5</v>
      </c>
      <c r="G52" s="293">
        <f ca="1">IF(F52="","",(VLOOKUP($D52,master_food_list,'Master Food List'!P$91,FALSE)))</f>
        <v>10.5</v>
      </c>
      <c r="H52" s="293">
        <f ca="1">IF(G52="","",(VLOOKUP($D52,master_food_list,'Master Food List'!Q$91,FALSE)))</f>
        <v>25.5</v>
      </c>
      <c r="I52" s="293">
        <f ca="1">IF(H52="","",(VLOOKUP($D52,master_food_list,'Master Food List'!R$91,FALSE)))</f>
        <v>150</v>
      </c>
      <c r="J52" s="293">
        <f ca="1">IF(I52="","",(VLOOKUP($D52,master_food_list,'Master Food List'!S$91,FALSE)))</f>
        <v>0</v>
      </c>
      <c r="K52" s="293">
        <f ca="1">IF(J52="","",(VLOOKUP($D52,master_food_list,'Master Food List'!T$91,FALSE)))</f>
        <v>177.77777777777777</v>
      </c>
    </row>
    <row r="53" spans="1:11" customFormat="1" ht="17" x14ac:dyDescent="0.2">
      <c r="A53" s="286">
        <v>6</v>
      </c>
      <c r="B53" s="287" t="s">
        <v>463</v>
      </c>
      <c r="C53" s="287" t="s">
        <v>455</v>
      </c>
      <c r="D53" s="289" t="s">
        <v>478</v>
      </c>
      <c r="E53" s="293">
        <f ca="1">IF(D53="","",(VLOOKUP($D53,master_food_list,'Master Food List'!N$91,FALSE)))</f>
        <v>540</v>
      </c>
      <c r="F53" s="293">
        <f ca="1">IF(E53="","",(VLOOKUP($D53,master_food_list,'Master Food List'!O$91,FALSE)))</f>
        <v>105</v>
      </c>
      <c r="G53" s="293">
        <f ca="1">IF(F53="","",(VLOOKUP($D53,master_food_list,'Master Food List'!P$91,FALSE)))</f>
        <v>6</v>
      </c>
      <c r="H53" s="293">
        <f ca="1">IF(G53="","",(VLOOKUP($D53,master_food_list,'Master Food List'!Q$91,FALSE)))</f>
        <v>12</v>
      </c>
      <c r="I53" s="293">
        <f ca="1">IF(H53="","",(VLOOKUP($D53,master_food_list,'Master Food List'!R$91,FALSE)))</f>
        <v>240</v>
      </c>
      <c r="J53" s="293">
        <f ca="1">IF(I53="","",(VLOOKUP($D53,master_food_list,'Master Food List'!S$91,FALSE)))</f>
        <v>0</v>
      </c>
      <c r="K53" s="293">
        <f ca="1">IF(J53="","",(VLOOKUP($D53,master_food_list,'Master Food List'!T$91,FALSE)))</f>
        <v>117.64705882352942</v>
      </c>
    </row>
    <row r="54" spans="1:11" customFormat="1" ht="34" x14ac:dyDescent="0.2">
      <c r="A54" s="286">
        <v>7</v>
      </c>
      <c r="B54" s="287" t="s">
        <v>463</v>
      </c>
      <c r="C54" s="287" t="s">
        <v>462</v>
      </c>
      <c r="D54" s="288" t="s">
        <v>485</v>
      </c>
      <c r="E54" s="293">
        <f ca="1">IF(D54="","",(VLOOKUP($D54,master_food_list,'Master Food List'!N$91,FALSE)))</f>
        <v>500</v>
      </c>
      <c r="F54" s="293">
        <f ca="1">IF(E54="","",(VLOOKUP($D54,master_food_list,'Master Food List'!O$91,FALSE)))</f>
        <v>74</v>
      </c>
      <c r="G54" s="293">
        <f ca="1">IF(F54="","",(VLOOKUP($D54,master_food_list,'Master Food List'!P$91,FALSE)))</f>
        <v>16</v>
      </c>
      <c r="H54" s="293">
        <f ca="1">IF(G54="","",(VLOOKUP($D54,master_food_list,'Master Food List'!Q$91,FALSE)))</f>
        <v>18</v>
      </c>
      <c r="I54" s="293">
        <f ca="1">IF(H54="","",(VLOOKUP($D54,master_food_list,'Master Food List'!R$91,FALSE)))</f>
        <v>130</v>
      </c>
      <c r="J54" s="293">
        <f ca="1">IF(I54="","",(VLOOKUP($D54,master_food_list,'Master Food List'!S$91,FALSE)))</f>
        <v>0</v>
      </c>
      <c r="K54" s="293">
        <f ca="1">IF(J54="","",(VLOOKUP($D54,master_food_list,'Master Food List'!T$91,FALSE)))</f>
        <v>126.55024044545685</v>
      </c>
    </row>
    <row r="55" spans="1:11" customFormat="1" ht="34" x14ac:dyDescent="0.2">
      <c r="A55" s="286">
        <v>7</v>
      </c>
      <c r="B55" s="287" t="s">
        <v>463</v>
      </c>
      <c r="C55" s="287" t="s">
        <v>461</v>
      </c>
      <c r="D55" s="288" t="s">
        <v>414</v>
      </c>
      <c r="E55" s="293">
        <f ca="1">IF(D55="","",(VLOOKUP($D55,master_food_list,'Master Food List'!N$91,FALSE)))</f>
        <v>250</v>
      </c>
      <c r="F55" s="293">
        <f ca="1">IF(E55="","",(VLOOKUP($D55,master_food_list,'Master Food List'!O$91,FALSE)))</f>
        <v>33</v>
      </c>
      <c r="G55" s="293">
        <f ca="1">IF(F55="","",(VLOOKUP($D55,master_food_list,'Master Food List'!P$91,FALSE)))</f>
        <v>4</v>
      </c>
      <c r="H55" s="293">
        <f ca="1">IF(G55="","",(VLOOKUP($D55,master_food_list,'Master Food List'!Q$91,FALSE)))</f>
        <v>12</v>
      </c>
      <c r="I55" s="293">
        <f ca="1">IF(H55="","",(VLOOKUP($D55,master_food_list,'Master Food List'!R$91,FALSE)))</f>
        <v>120</v>
      </c>
      <c r="J55" s="293">
        <f ca="1">IF(I55="","",(VLOOKUP($D55,master_food_list,'Master Food List'!S$91,FALSE)))</f>
        <v>0</v>
      </c>
      <c r="K55" s="293">
        <f ca="1">IF(J55="","",(VLOOKUP($D55,master_food_list,'Master Food List'!T$91,FALSE)))</f>
        <v>134.40860215053763</v>
      </c>
    </row>
    <row r="56" spans="1:11" customFormat="1" ht="17" x14ac:dyDescent="0.2">
      <c r="A56" s="286">
        <v>7</v>
      </c>
      <c r="B56" s="287" t="s">
        <v>463</v>
      </c>
      <c r="C56" s="287" t="s">
        <v>460</v>
      </c>
      <c r="D56" s="289"/>
      <c r="E56" s="293" t="str">
        <f>IF(D56="","",(VLOOKUP($D56,master_food_list,'Master Food List'!N$91,FALSE)))</f>
        <v/>
      </c>
      <c r="F56" s="293" t="str">
        <f>IF(E56="","",(VLOOKUP($D56,master_food_list,'Master Food List'!O$91,FALSE)))</f>
        <v/>
      </c>
      <c r="G56" s="293" t="str">
        <f>IF(F56="","",(VLOOKUP($D56,master_food_list,'Master Food List'!P$91,FALSE)))</f>
        <v/>
      </c>
      <c r="H56" s="293" t="str">
        <f>IF(G56="","",(VLOOKUP($D56,master_food_list,'Master Food List'!Q$91,FALSE)))</f>
        <v/>
      </c>
      <c r="I56" s="293" t="str">
        <f>IF(H56="","",(VLOOKUP($D56,master_food_list,'Master Food List'!R$91,FALSE)))</f>
        <v/>
      </c>
      <c r="J56" s="293" t="str">
        <f>IF(I56="","",(VLOOKUP($D56,master_food_list,'Master Food List'!S$91,FALSE)))</f>
        <v/>
      </c>
      <c r="K56" s="293" t="str">
        <f>IF(J56="","",(VLOOKUP($D56,master_food_list,'Master Food List'!T$91,FALSE)))</f>
        <v/>
      </c>
    </row>
    <row r="57" spans="1:11" customFormat="1" ht="34" x14ac:dyDescent="0.2">
      <c r="A57" s="286">
        <v>7</v>
      </c>
      <c r="B57" s="287" t="s">
        <v>463</v>
      </c>
      <c r="C57" s="287" t="s">
        <v>459</v>
      </c>
      <c r="D57" s="288" t="s">
        <v>325</v>
      </c>
      <c r="E57" s="293">
        <f ca="1">IF(D57="","",(VLOOKUP($D57,master_food_list,'Master Food List'!N$91,FALSE)))</f>
        <v>130</v>
      </c>
      <c r="F57" s="293">
        <f ca="1">IF(E57="","",(VLOOKUP($D57,master_food_list,'Master Food List'!O$91,FALSE)))</f>
        <v>12</v>
      </c>
      <c r="G57" s="293">
        <f ca="1">IF(F57="","",(VLOOKUP($D57,master_food_list,'Master Food List'!P$91,FALSE)))</f>
        <v>8</v>
      </c>
      <c r="H57" s="293">
        <f ca="1">IF(G57="","",(VLOOKUP($D57,master_food_list,'Master Food List'!Q$91,FALSE)))</f>
        <v>6</v>
      </c>
      <c r="I57" s="293">
        <f ca="1">IF(H57="","",(VLOOKUP($D57,master_food_list,'Master Food List'!R$91,FALSE)))</f>
        <v>290</v>
      </c>
      <c r="J57" s="293">
        <f ca="1">IF(I57="","",(VLOOKUP($D57,master_food_list,'Master Food List'!S$91,FALSE)))</f>
        <v>0</v>
      </c>
      <c r="K57" s="293">
        <f ca="1">IF(J57="","",(VLOOKUP($D57,master_food_list,'Master Food List'!T$91,FALSE)))</f>
        <v>99.999999999999986</v>
      </c>
    </row>
    <row r="58" spans="1:11" customFormat="1" ht="17" x14ac:dyDescent="0.2">
      <c r="A58" s="286">
        <v>7</v>
      </c>
      <c r="B58" s="287" t="s">
        <v>463</v>
      </c>
      <c r="C58" s="287" t="s">
        <v>458</v>
      </c>
      <c r="D58" s="289" t="s">
        <v>504</v>
      </c>
      <c r="E58" s="293">
        <f ca="1">IF(D58="","",(VLOOKUP($D58,master_food_list,'Master Food List'!N$91,FALSE)))</f>
        <v>860</v>
      </c>
      <c r="F58" s="293">
        <f ca="1">IF(E58="","",(VLOOKUP($D58,master_food_list,'Master Food List'!O$91,FALSE)))</f>
        <v>112</v>
      </c>
      <c r="G58" s="293">
        <f ca="1">IF(F58="","",(VLOOKUP($D58,master_food_list,'Master Food List'!P$91,FALSE)))</f>
        <v>38</v>
      </c>
      <c r="H58" s="293">
        <f ca="1">IF(G58="","",(VLOOKUP($D58,master_food_list,'Master Food List'!Q$91,FALSE)))</f>
        <v>28</v>
      </c>
      <c r="I58" s="293">
        <f ca="1">IF(H58="","",(VLOOKUP($D58,master_food_list,'Master Food List'!R$91,FALSE)))</f>
        <v>1220</v>
      </c>
      <c r="J58" s="293">
        <f ca="1">IF(I58="","",(VLOOKUP($D58,master_food_list,'Master Food List'!S$91,FALSE)))</f>
        <v>0</v>
      </c>
      <c r="K58" s="293">
        <f ca="1">IF(J58="","",(VLOOKUP($D58,master_food_list,'Master Food List'!T$91,FALSE)))</f>
        <v>121.12676056338029</v>
      </c>
    </row>
    <row r="59" spans="1:11" customFormat="1" ht="17" x14ac:dyDescent="0.2">
      <c r="A59" s="286">
        <v>7</v>
      </c>
      <c r="B59" s="287" t="s">
        <v>463</v>
      </c>
      <c r="C59" s="287" t="s">
        <v>457</v>
      </c>
      <c r="D59" s="289" t="s">
        <v>479</v>
      </c>
      <c r="E59" s="293">
        <f ca="1">IF(D59="","",(VLOOKUP($D59,master_food_list,'Master Food List'!N$91,FALSE)))</f>
        <v>300</v>
      </c>
      <c r="F59" s="293">
        <f ca="1">IF(E59="","",(VLOOKUP($D59,master_food_list,'Master Food List'!O$91,FALSE)))</f>
        <v>10.5</v>
      </c>
      <c r="G59" s="293">
        <f ca="1">IF(F59="","",(VLOOKUP($D59,master_food_list,'Master Food List'!P$91,FALSE)))</f>
        <v>10.5</v>
      </c>
      <c r="H59" s="293">
        <f ca="1">IF(G59="","",(VLOOKUP($D59,master_food_list,'Master Food List'!Q$91,FALSE)))</f>
        <v>25.5</v>
      </c>
      <c r="I59" s="293">
        <f ca="1">IF(H59="","",(VLOOKUP($D59,master_food_list,'Master Food List'!R$91,FALSE)))</f>
        <v>150</v>
      </c>
      <c r="J59" s="293">
        <f ca="1">IF(I59="","",(VLOOKUP($D59,master_food_list,'Master Food List'!S$91,FALSE)))</f>
        <v>0</v>
      </c>
      <c r="K59" s="293">
        <f ca="1">IF(J59="","",(VLOOKUP($D59,master_food_list,'Master Food List'!T$91,FALSE)))</f>
        <v>177.77777777777777</v>
      </c>
    </row>
    <row r="60" spans="1:11" customFormat="1" ht="17" x14ac:dyDescent="0.2">
      <c r="A60" s="286">
        <v>7</v>
      </c>
      <c r="B60" s="287" t="s">
        <v>463</v>
      </c>
      <c r="C60" s="287" t="s">
        <v>455</v>
      </c>
      <c r="D60" s="289" t="s">
        <v>505</v>
      </c>
      <c r="E60" s="293">
        <f ca="1">IF(D60="","",(VLOOKUP($D60,master_food_list,'Master Food List'!N$91,FALSE)))</f>
        <v>500</v>
      </c>
      <c r="F60" s="293">
        <f ca="1">IF(E60="","",(VLOOKUP($D60,master_food_list,'Master Food List'!O$91,FALSE)))</f>
        <v>108</v>
      </c>
      <c r="G60" s="293">
        <f ca="1">IF(F60="","",(VLOOKUP($D60,master_food_list,'Master Food List'!P$91,FALSE)))</f>
        <v>10</v>
      </c>
      <c r="H60" s="293">
        <f ca="1">IF(G60="","",(VLOOKUP($D60,master_food_list,'Master Food List'!Q$91,FALSE)))</f>
        <v>5</v>
      </c>
      <c r="I60" s="293">
        <f ca="1">IF(H60="","",(VLOOKUP($D60,master_food_list,'Master Food List'!R$91,FALSE)))</f>
        <v>680</v>
      </c>
      <c r="J60" s="293">
        <f ca="1">IF(I60="","",(VLOOKUP($D60,master_food_list,'Master Food List'!S$91,FALSE)))</f>
        <v>0</v>
      </c>
      <c r="K60" s="293">
        <f ca="1">IF(J60="","",(VLOOKUP($D60,master_food_list,'Master Food List'!T$91,FALSE)))</f>
        <v>111.11111111111111</v>
      </c>
    </row>
    <row r="61" spans="1:11" s="189" customFormat="1" ht="34" x14ac:dyDescent="0.2">
      <c r="A61" s="282">
        <v>8</v>
      </c>
      <c r="B61" s="283" t="s">
        <v>463</v>
      </c>
      <c r="C61" s="283" t="s">
        <v>462</v>
      </c>
      <c r="D61" s="284" t="s">
        <v>480</v>
      </c>
      <c r="E61" s="292">
        <f ca="1">IF(D61="","",(VLOOKUP($D61,master_food_list,'Master Food List'!N$91,FALSE)))</f>
        <v>620</v>
      </c>
      <c r="F61" s="292">
        <f ca="1">IF(E61="","",(VLOOKUP($D61,master_food_list,'Master Food List'!O$91,FALSE)))</f>
        <v>74</v>
      </c>
      <c r="G61" s="292">
        <f ca="1">IF(F61="","",(VLOOKUP($D61,master_food_list,'Master Food List'!P$91,FALSE)))</f>
        <v>16</v>
      </c>
      <c r="H61" s="292">
        <f ca="1">IF(G61="","",(VLOOKUP($D61,master_food_list,'Master Food List'!Q$91,FALSE)))</f>
        <v>31</v>
      </c>
      <c r="I61" s="292">
        <f ca="1">IF(H61="","",(VLOOKUP($D61,master_food_list,'Master Food List'!R$91,FALSE)))</f>
        <v>280</v>
      </c>
      <c r="J61" s="292">
        <f ca="1">IF(I61="","",(VLOOKUP($D61,master_food_list,'Master Food List'!S$91,FALSE)))</f>
        <v>0</v>
      </c>
      <c r="K61" s="292">
        <f ca="1">IF(J61="","",(VLOOKUP($D61,master_food_list,'Master Food List'!T$91,FALSE)))</f>
        <v>130.52631578947367</v>
      </c>
    </row>
    <row r="62" spans="1:11" s="189" customFormat="1" ht="51" x14ac:dyDescent="0.2">
      <c r="A62" s="282">
        <v>8</v>
      </c>
      <c r="B62" s="283" t="s">
        <v>463</v>
      </c>
      <c r="C62" s="283" t="s">
        <v>461</v>
      </c>
      <c r="D62" s="284" t="s">
        <v>430</v>
      </c>
      <c r="E62" s="292">
        <f ca="1">IF(D62="","",(VLOOKUP($D62,master_food_list,'Master Food List'!N$91,FALSE)))</f>
        <v>510</v>
      </c>
      <c r="F62" s="292">
        <f ca="1">IF(E62="","",(VLOOKUP($D62,master_food_list,'Master Food List'!O$91,FALSE)))</f>
        <v>42</v>
      </c>
      <c r="G62" s="292">
        <f ca="1">IF(F62="","",(VLOOKUP($D62,master_food_list,'Master Food List'!P$91,FALSE)))</f>
        <v>10.5</v>
      </c>
      <c r="H62" s="292">
        <f ca="1">IF(G62="","",(VLOOKUP($D62,master_food_list,'Master Food List'!Q$91,FALSE)))</f>
        <v>33</v>
      </c>
      <c r="I62" s="292">
        <f ca="1">IF(H62="","",(VLOOKUP($D62,master_food_list,'Master Food List'!R$91,FALSE)))</f>
        <v>75</v>
      </c>
      <c r="J62" s="292">
        <f ca="1">IF(I62="","",(VLOOKUP($D62,master_food_list,'Master Food List'!S$91,FALSE)))</f>
        <v>0</v>
      </c>
      <c r="K62" s="292">
        <f ca="1">IF(J62="","",(VLOOKUP($D62,master_food_list,'Master Food List'!T$91,FALSE)))</f>
        <v>170</v>
      </c>
    </row>
    <row r="63" spans="1:11" s="189" customFormat="1" ht="17" x14ac:dyDescent="0.2">
      <c r="A63" s="282">
        <v>8</v>
      </c>
      <c r="B63" s="283" t="s">
        <v>463</v>
      </c>
      <c r="C63" s="283" t="s">
        <v>460</v>
      </c>
      <c r="D63" s="285"/>
      <c r="E63" s="292" t="str">
        <f>IF(D63="","",(VLOOKUP($D63,master_food_list,'Master Food List'!N$91,FALSE)))</f>
        <v/>
      </c>
      <c r="F63" s="292" t="str">
        <f>IF(E63="","",(VLOOKUP($D63,master_food_list,'Master Food List'!O$91,FALSE)))</f>
        <v/>
      </c>
      <c r="G63" s="292" t="str">
        <f>IF(F63="","",(VLOOKUP($D63,master_food_list,'Master Food List'!P$91,FALSE)))</f>
        <v/>
      </c>
      <c r="H63" s="292" t="str">
        <f>IF(G63="","",(VLOOKUP($D63,master_food_list,'Master Food List'!Q$91,FALSE)))</f>
        <v/>
      </c>
      <c r="I63" s="292" t="str">
        <f>IF(H63="","",(VLOOKUP($D63,master_food_list,'Master Food List'!R$91,FALSE)))</f>
        <v/>
      </c>
      <c r="J63" s="292" t="str">
        <f>IF(I63="","",(VLOOKUP($D63,master_food_list,'Master Food List'!S$91,FALSE)))</f>
        <v/>
      </c>
      <c r="K63" s="292" t="str">
        <f>IF(J63="","",(VLOOKUP($D63,master_food_list,'Master Food List'!T$91,FALSE)))</f>
        <v/>
      </c>
    </row>
    <row r="64" spans="1:11" s="189" customFormat="1" ht="51" x14ac:dyDescent="0.2">
      <c r="A64" s="282">
        <v>8</v>
      </c>
      <c r="B64" s="283" t="s">
        <v>463</v>
      </c>
      <c r="C64" s="283" t="s">
        <v>459</v>
      </c>
      <c r="D64" s="284" t="s">
        <v>433</v>
      </c>
      <c r="E64" s="292">
        <f ca="1">IF(D64="","",(VLOOKUP($D64,master_food_list,'Master Food List'!N$91,FALSE)))</f>
        <v>280</v>
      </c>
      <c r="F64" s="292">
        <f ca="1">IF(E64="","",(VLOOKUP($D64,master_food_list,'Master Food List'!O$91,FALSE)))</f>
        <v>34</v>
      </c>
      <c r="G64" s="292">
        <f ca="1">IF(F64="","",(VLOOKUP($D64,master_food_list,'Master Food List'!P$91,FALSE)))</f>
        <v>2</v>
      </c>
      <c r="H64" s="292">
        <f ca="1">IF(G64="","",(VLOOKUP($D64,master_food_list,'Master Food List'!Q$91,FALSE)))</f>
        <v>17</v>
      </c>
      <c r="I64" s="292">
        <f ca="1">IF(H64="","",(VLOOKUP($D64,master_food_list,'Master Food List'!R$91,FALSE)))</f>
        <v>0</v>
      </c>
      <c r="J64" s="292">
        <f ca="1">IF(I64="","",(VLOOKUP($D64,master_food_list,'Master Food List'!S$91,FALSE)))</f>
        <v>0</v>
      </c>
      <c r="K64" s="292">
        <f ca="1">IF(J64="","",(VLOOKUP($D64,master_food_list,'Master Food List'!T$91,FALSE)))</f>
        <v>140</v>
      </c>
    </row>
    <row r="65" spans="1:11" s="189" customFormat="1" ht="17" x14ac:dyDescent="0.2">
      <c r="A65" s="282">
        <v>8</v>
      </c>
      <c r="B65" s="283" t="s">
        <v>463</v>
      </c>
      <c r="C65" s="283" t="s">
        <v>458</v>
      </c>
      <c r="D65" s="285" t="s">
        <v>503</v>
      </c>
      <c r="E65" s="292">
        <f ca="1">IF(D65="","",(VLOOKUP($D65,master_food_list,'Master Food List'!N$91,FALSE)))</f>
        <v>880</v>
      </c>
      <c r="F65" s="292">
        <f ca="1">IF(E65="","",(VLOOKUP($D65,master_food_list,'Master Food List'!O$91,FALSE)))</f>
        <v>122</v>
      </c>
      <c r="G65" s="292">
        <f ca="1">IF(F65="","",(VLOOKUP($D65,master_food_list,'Master Food List'!P$91,FALSE)))</f>
        <v>36</v>
      </c>
      <c r="H65" s="292">
        <f ca="1">IF(G65="","",(VLOOKUP($D65,master_food_list,'Master Food List'!Q$91,FALSE)))</f>
        <v>36</v>
      </c>
      <c r="I65" s="292">
        <f ca="1">IF(H65="","",(VLOOKUP($D65,master_food_list,'Master Food List'!R$91,FALSE)))</f>
        <v>920</v>
      </c>
      <c r="J65" s="292">
        <f ca="1">IF(I65="","",(VLOOKUP($D65,master_food_list,'Master Food List'!S$91,FALSE)))</f>
        <v>0</v>
      </c>
      <c r="K65" s="292">
        <f ca="1">IF(J65="","",(VLOOKUP($D65,master_food_list,'Master Food List'!T$91,FALSE)))</f>
        <v>110</v>
      </c>
    </row>
    <row r="66" spans="1:11" s="189" customFormat="1" ht="17" x14ac:dyDescent="0.2">
      <c r="A66" s="282">
        <v>8</v>
      </c>
      <c r="B66" s="283" t="s">
        <v>463</v>
      </c>
      <c r="C66" s="283" t="s">
        <v>457</v>
      </c>
      <c r="D66" s="285" t="s">
        <v>479</v>
      </c>
      <c r="E66" s="292">
        <f ca="1">IF(D66="","",(VLOOKUP($D66,master_food_list,'Master Food List'!N$91,FALSE)))</f>
        <v>300</v>
      </c>
      <c r="F66" s="292">
        <f ca="1">IF(E66="","",(VLOOKUP($D66,master_food_list,'Master Food List'!O$91,FALSE)))</f>
        <v>10.5</v>
      </c>
      <c r="G66" s="292">
        <f ca="1">IF(F66="","",(VLOOKUP($D66,master_food_list,'Master Food List'!P$91,FALSE)))</f>
        <v>10.5</v>
      </c>
      <c r="H66" s="292">
        <f ca="1">IF(G66="","",(VLOOKUP($D66,master_food_list,'Master Food List'!Q$91,FALSE)))</f>
        <v>25.5</v>
      </c>
      <c r="I66" s="292">
        <f ca="1">IF(H66="","",(VLOOKUP($D66,master_food_list,'Master Food List'!R$91,FALSE)))</f>
        <v>150</v>
      </c>
      <c r="J66" s="292">
        <f ca="1">IF(I66="","",(VLOOKUP($D66,master_food_list,'Master Food List'!S$91,FALSE)))</f>
        <v>0</v>
      </c>
      <c r="K66" s="292">
        <f ca="1">IF(J66="","",(VLOOKUP($D66,master_food_list,'Master Food List'!T$91,FALSE)))</f>
        <v>177.77777777777777</v>
      </c>
    </row>
    <row r="67" spans="1:11" s="189" customFormat="1" ht="17" x14ac:dyDescent="0.2">
      <c r="A67" s="282">
        <v>8</v>
      </c>
      <c r="B67" s="283" t="s">
        <v>463</v>
      </c>
      <c r="C67" s="283" t="s">
        <v>455</v>
      </c>
      <c r="D67" s="285" t="s">
        <v>484</v>
      </c>
      <c r="E67" s="292">
        <f ca="1">IF(D67="","",(VLOOKUP($D67,master_food_list,'Master Food List'!N$91,FALSE)))</f>
        <v>540</v>
      </c>
      <c r="F67" s="292">
        <f ca="1">IF(E67="","",(VLOOKUP($D67,master_food_list,'Master Food List'!O$91,FALSE)))</f>
        <v>72</v>
      </c>
      <c r="G67" s="292">
        <f ca="1">IF(F67="","",(VLOOKUP($D67,master_food_list,'Master Food List'!P$91,FALSE)))</f>
        <v>14</v>
      </c>
      <c r="H67" s="292">
        <f ca="1">IF(G67="","",(VLOOKUP($D67,master_food_list,'Master Food List'!Q$91,FALSE)))</f>
        <v>22</v>
      </c>
      <c r="I67" s="292">
        <f ca="1">IF(H67="","",(VLOOKUP($D67,master_food_list,'Master Food List'!R$91,FALSE)))</f>
        <v>780</v>
      </c>
      <c r="J67" s="292">
        <f ca="1">IF(I67="","",(VLOOKUP($D67,master_food_list,'Master Food List'!S$91,FALSE)))</f>
        <v>0</v>
      </c>
      <c r="K67" s="292">
        <f ca="1">IF(J67="","",(VLOOKUP($D67,master_food_list,'Master Food List'!T$91,FALSE)))</f>
        <v>117.39130434782609</v>
      </c>
    </row>
    <row r="68" spans="1:11" customFormat="1" ht="17" x14ac:dyDescent="0.2">
      <c r="A68" s="286">
        <v>9</v>
      </c>
      <c r="B68" s="287" t="s">
        <v>463</v>
      </c>
      <c r="C68" s="287" t="s">
        <v>462</v>
      </c>
      <c r="D68" s="288" t="s">
        <v>414</v>
      </c>
      <c r="E68" s="293">
        <f ca="1">IF(D68="","",(VLOOKUP($D68,master_food_list,'Master Food List'!N$91,FALSE)))</f>
        <v>250</v>
      </c>
      <c r="F68" s="293">
        <f ca="1">IF(E68="","",(VLOOKUP($D68,master_food_list,'Master Food List'!O$91,FALSE)))</f>
        <v>33</v>
      </c>
      <c r="G68" s="293">
        <f ca="1">IF(F68="","",(VLOOKUP($D68,master_food_list,'Master Food List'!P$91,FALSE)))</f>
        <v>4</v>
      </c>
      <c r="H68" s="293">
        <f ca="1">IF(G68="","",(VLOOKUP($D68,master_food_list,'Master Food List'!Q$91,FALSE)))</f>
        <v>12</v>
      </c>
      <c r="I68" s="293">
        <f ca="1">IF(H68="","",(VLOOKUP($D68,master_food_list,'Master Food List'!R$91,FALSE)))</f>
        <v>120</v>
      </c>
      <c r="J68" s="293">
        <f ca="1">IF(I68="","",(VLOOKUP($D68,master_food_list,'Master Food List'!S$91,FALSE)))</f>
        <v>0</v>
      </c>
      <c r="K68" s="293">
        <f ca="1">IF(J68="","",(VLOOKUP($D68,master_food_list,'Master Food List'!T$91,FALSE)))</f>
        <v>134.40860215053763</v>
      </c>
    </row>
    <row r="69" spans="1:11" customFormat="1" ht="34" x14ac:dyDescent="0.2">
      <c r="A69" s="286">
        <v>9</v>
      </c>
      <c r="B69" s="287" t="s">
        <v>463</v>
      </c>
      <c r="C69" s="287" t="s">
        <v>461</v>
      </c>
      <c r="D69" s="288" t="s">
        <v>396</v>
      </c>
      <c r="E69" s="293">
        <f ca="1">IF(D69="","",(VLOOKUP($D69,master_food_list,'Master Food List'!N$91,FALSE)))</f>
        <v>270</v>
      </c>
      <c r="F69" s="293">
        <f ca="1">IF(E69="","",(VLOOKUP($D69,master_food_list,'Master Food List'!O$91,FALSE)))</f>
        <v>30</v>
      </c>
      <c r="G69" s="293">
        <f ca="1">IF(F69="","",(VLOOKUP($D69,master_food_list,'Master Food List'!P$91,FALSE)))</f>
        <v>20</v>
      </c>
      <c r="H69" s="293">
        <f ca="1">IF(G69="","",(VLOOKUP($D69,master_food_list,'Master Food List'!Q$91,FALSE)))</f>
        <v>9</v>
      </c>
      <c r="I69" s="293">
        <f ca="1">IF(H69="","",(VLOOKUP($D69,master_food_list,'Master Food List'!R$91,FALSE)))</f>
        <v>200</v>
      </c>
      <c r="J69" s="293">
        <f ca="1">IF(I69="","",(VLOOKUP($D69,master_food_list,'Master Food List'!S$91,FALSE)))</f>
        <v>0</v>
      </c>
      <c r="K69" s="293">
        <f ca="1">IF(J69="","",(VLOOKUP($D69,master_food_list,'Master Food List'!T$91,FALSE)))</f>
        <v>112.5</v>
      </c>
    </row>
    <row r="70" spans="1:11" customFormat="1" ht="17" x14ac:dyDescent="0.2">
      <c r="A70" s="286">
        <v>9</v>
      </c>
      <c r="B70" s="287" t="s">
        <v>463</v>
      </c>
      <c r="C70" s="287" t="s">
        <v>460</v>
      </c>
      <c r="D70" s="289"/>
      <c r="E70" s="293" t="str">
        <f>IF(D70="","",(VLOOKUP($D70,master_food_list,'Master Food List'!N$91,FALSE)))</f>
        <v/>
      </c>
      <c r="F70" s="293" t="str">
        <f>IF(E70="","",(VLOOKUP($D70,master_food_list,'Master Food List'!O$91,FALSE)))</f>
        <v/>
      </c>
      <c r="G70" s="293" t="str">
        <f>IF(F70="","",(VLOOKUP($D70,master_food_list,'Master Food List'!P$91,FALSE)))</f>
        <v/>
      </c>
      <c r="H70" s="293" t="str">
        <f>IF(G70="","",(VLOOKUP($D70,master_food_list,'Master Food List'!Q$91,FALSE)))</f>
        <v/>
      </c>
      <c r="I70" s="293" t="str">
        <f>IF(H70="","",(VLOOKUP($D70,master_food_list,'Master Food List'!R$91,FALSE)))</f>
        <v/>
      </c>
      <c r="J70" s="293" t="str">
        <f>IF(I70="","",(VLOOKUP($D70,master_food_list,'Master Food List'!S$91,FALSE)))</f>
        <v/>
      </c>
      <c r="K70" s="293" t="str">
        <f>IF(J70="","",(VLOOKUP($D70,master_food_list,'Master Food List'!T$91,FALSE)))</f>
        <v/>
      </c>
    </row>
    <row r="71" spans="1:11" customFormat="1" ht="34" x14ac:dyDescent="0.2">
      <c r="A71" s="286">
        <v>9</v>
      </c>
      <c r="B71" s="287" t="s">
        <v>463</v>
      </c>
      <c r="C71" s="287" t="s">
        <v>459</v>
      </c>
      <c r="D71" s="288" t="s">
        <v>522</v>
      </c>
      <c r="E71" s="293">
        <f ca="1">IF(D71="","",(VLOOKUP($D71,master_food_list,'Master Food List'!N$91,FALSE)))</f>
        <v>300</v>
      </c>
      <c r="F71" s="293">
        <f ca="1">IF(E71="","",(VLOOKUP($D71,master_food_list,'Master Food List'!O$91,FALSE)))</f>
        <v>26</v>
      </c>
      <c r="G71" s="293">
        <f ca="1">IF(F71="","",(VLOOKUP($D71,master_food_list,'Master Food List'!P$91,FALSE)))</f>
        <v>4</v>
      </c>
      <c r="H71" s="293">
        <f ca="1">IF(G71="","",(VLOOKUP($D71,master_food_list,'Master Food List'!Q$91,FALSE)))</f>
        <v>20</v>
      </c>
      <c r="I71" s="293">
        <f ca="1">IF(H71="","",(VLOOKUP($D71,master_food_list,'Master Food List'!R$91,FALSE)))</f>
        <v>500</v>
      </c>
      <c r="J71" s="293">
        <f ca="1">IF(I71="","",(VLOOKUP($D71,master_food_list,'Master Food List'!S$91,FALSE)))</f>
        <v>0</v>
      </c>
      <c r="K71" s="293">
        <f ca="1">IF(J71="","",(VLOOKUP($D71,master_food_list,'Master Food List'!T$91,FALSE)))</f>
        <v>154.28571428571428</v>
      </c>
    </row>
    <row r="72" spans="1:11" customFormat="1" ht="17" x14ac:dyDescent="0.2">
      <c r="A72" s="286">
        <v>9</v>
      </c>
      <c r="B72" s="287" t="s">
        <v>463</v>
      </c>
      <c r="C72" s="287" t="s">
        <v>458</v>
      </c>
      <c r="D72" s="289" t="s">
        <v>493</v>
      </c>
      <c r="E72" s="293">
        <f ca="1">IF(D72="","",(VLOOKUP($D72,master_food_list,'Master Food List'!N$91,FALSE)))</f>
        <v>1000</v>
      </c>
      <c r="F72" s="293">
        <f ca="1">IF(E72="","",(VLOOKUP($D72,master_food_list,'Master Food List'!O$91,FALSE)))</f>
        <v>112</v>
      </c>
      <c r="G72" s="293">
        <f ca="1">IF(F72="","",(VLOOKUP($D72,master_food_list,'Master Food List'!P$91,FALSE)))</f>
        <v>40</v>
      </c>
      <c r="H72" s="293">
        <f ca="1">IF(G72="","",(VLOOKUP($D72,master_food_list,'Master Food List'!Q$91,FALSE)))</f>
        <v>52</v>
      </c>
      <c r="I72" s="293">
        <f ca="1">IF(H72="","",(VLOOKUP($D72,master_food_list,'Master Food List'!R$91,FALSE)))</f>
        <v>460</v>
      </c>
      <c r="J72" s="293">
        <f ca="1">IF(I72="","",(VLOOKUP($D72,master_food_list,'Master Food List'!S$91,FALSE)))</f>
        <v>0</v>
      </c>
      <c r="K72" s="293">
        <f ca="1">IF(J72="","",(VLOOKUP($D72,master_food_list,'Master Food List'!T$91,FALSE)))</f>
        <v>123.4567901234568</v>
      </c>
    </row>
    <row r="73" spans="1:11" customFormat="1" ht="17" x14ac:dyDescent="0.2">
      <c r="A73" s="286">
        <v>9</v>
      </c>
      <c r="B73" s="287" t="s">
        <v>463</v>
      </c>
      <c r="C73" s="287" t="s">
        <v>457</v>
      </c>
      <c r="D73" s="289" t="s">
        <v>479</v>
      </c>
      <c r="E73" s="293">
        <f ca="1">IF(D73="","",(VLOOKUP($D73,master_food_list,'Master Food List'!N$91,FALSE)))</f>
        <v>300</v>
      </c>
      <c r="F73" s="293">
        <f ca="1">IF(E73="","",(VLOOKUP($D73,master_food_list,'Master Food List'!O$91,FALSE)))</f>
        <v>10.5</v>
      </c>
      <c r="G73" s="293">
        <f ca="1">IF(F73="","",(VLOOKUP($D73,master_food_list,'Master Food List'!P$91,FALSE)))</f>
        <v>10.5</v>
      </c>
      <c r="H73" s="293">
        <f ca="1">IF(G73="","",(VLOOKUP($D73,master_food_list,'Master Food List'!Q$91,FALSE)))</f>
        <v>25.5</v>
      </c>
      <c r="I73" s="293">
        <f ca="1">IF(H73="","",(VLOOKUP($D73,master_food_list,'Master Food List'!R$91,FALSE)))</f>
        <v>150</v>
      </c>
      <c r="J73" s="293">
        <f ca="1">IF(I73="","",(VLOOKUP($D73,master_food_list,'Master Food List'!S$91,FALSE)))</f>
        <v>0</v>
      </c>
      <c r="K73" s="293">
        <f ca="1">IF(J73="","",(VLOOKUP($D73,master_food_list,'Master Food List'!T$91,FALSE)))</f>
        <v>177.77777777777777</v>
      </c>
    </row>
    <row r="74" spans="1:11" customFormat="1" ht="17" x14ac:dyDescent="0.2">
      <c r="A74" s="286">
        <v>9</v>
      </c>
      <c r="B74" s="287" t="s">
        <v>463</v>
      </c>
      <c r="C74" s="287" t="s">
        <v>455</v>
      </c>
      <c r="D74" s="289" t="s">
        <v>313</v>
      </c>
      <c r="E74" s="293">
        <f ca="1">IF(D74="","",(VLOOKUP($D74,master_food_list,'Master Food List'!N$91,FALSE)))</f>
        <v>170</v>
      </c>
      <c r="F74" s="293">
        <f ca="1">IF(E74="","",(VLOOKUP($D74,master_food_list,'Master Food List'!O$91,FALSE)))</f>
        <v>28</v>
      </c>
      <c r="G74" s="293">
        <f ca="1">IF(F74="","",(VLOOKUP($D74,master_food_list,'Master Food List'!P$91,FALSE)))</f>
        <v>2</v>
      </c>
      <c r="H74" s="293">
        <f ca="1">IF(G74="","",(VLOOKUP($D74,master_food_list,'Master Food List'!Q$91,FALSE)))</f>
        <v>6</v>
      </c>
      <c r="I74" s="293">
        <f ca="1">IF(H74="","",(VLOOKUP($D74,master_food_list,'Master Food List'!R$91,FALSE)))</f>
        <v>135</v>
      </c>
      <c r="J74" s="293">
        <f ca="1">IF(I74="","",(VLOOKUP($D74,master_food_list,'Master Food List'!S$91,FALSE)))</f>
        <v>0</v>
      </c>
      <c r="K74" s="293">
        <f ca="1">IF(J74="","",(VLOOKUP($D74,master_food_list,'Master Food List'!T$91,FALSE)))</f>
        <v>150.44247787610621</v>
      </c>
    </row>
    <row r="75" spans="1:11" customFormat="1" ht="34" x14ac:dyDescent="0.2">
      <c r="A75" s="286">
        <v>10</v>
      </c>
      <c r="B75" s="287" t="s">
        <v>463</v>
      </c>
      <c r="C75" s="287" t="s">
        <v>462</v>
      </c>
      <c r="D75" s="288" t="s">
        <v>485</v>
      </c>
      <c r="E75" s="293">
        <f ca="1">IF(D75="","",(VLOOKUP($D75,master_food_list,'Master Food List'!N$91,FALSE)))</f>
        <v>500</v>
      </c>
      <c r="F75" s="293">
        <f ca="1">IF(E75="","",(VLOOKUP($D75,master_food_list,'Master Food List'!O$91,FALSE)))</f>
        <v>74</v>
      </c>
      <c r="G75" s="293">
        <f ca="1">IF(F75="","",(VLOOKUP($D75,master_food_list,'Master Food List'!P$91,FALSE)))</f>
        <v>16</v>
      </c>
      <c r="H75" s="293">
        <f ca="1">IF(G75="","",(VLOOKUP($D75,master_food_list,'Master Food List'!Q$91,FALSE)))</f>
        <v>18</v>
      </c>
      <c r="I75" s="293">
        <f ca="1">IF(H75="","",(VLOOKUP($D75,master_food_list,'Master Food List'!R$91,FALSE)))</f>
        <v>130</v>
      </c>
      <c r="J75" s="293">
        <f ca="1">IF(I75="","",(VLOOKUP($D75,master_food_list,'Master Food List'!S$91,FALSE)))</f>
        <v>0</v>
      </c>
      <c r="K75" s="293">
        <f ca="1">IF(J75="","",(VLOOKUP($D75,master_food_list,'Master Food List'!T$91,FALSE)))</f>
        <v>126.55024044545685</v>
      </c>
    </row>
    <row r="76" spans="1:11" customFormat="1" ht="51" x14ac:dyDescent="0.2">
      <c r="A76" s="286">
        <v>10</v>
      </c>
      <c r="B76" s="287" t="s">
        <v>463</v>
      </c>
      <c r="C76" s="287" t="s">
        <v>461</v>
      </c>
      <c r="D76" s="288" t="s">
        <v>433</v>
      </c>
      <c r="E76" s="293">
        <f ca="1">IF(D76="","",(VLOOKUP($D76,master_food_list,'Master Food List'!N$91,FALSE)))</f>
        <v>280</v>
      </c>
      <c r="F76" s="293">
        <f ca="1">IF(E76="","",(VLOOKUP($D76,master_food_list,'Master Food List'!O$91,FALSE)))</f>
        <v>34</v>
      </c>
      <c r="G76" s="293">
        <f ca="1">IF(F76="","",(VLOOKUP($D76,master_food_list,'Master Food List'!P$91,FALSE)))</f>
        <v>2</v>
      </c>
      <c r="H76" s="293">
        <f ca="1">IF(G76="","",(VLOOKUP($D76,master_food_list,'Master Food List'!Q$91,FALSE)))</f>
        <v>17</v>
      </c>
      <c r="I76" s="293">
        <f ca="1">IF(H76="","",(VLOOKUP($D76,master_food_list,'Master Food List'!R$91,FALSE)))</f>
        <v>0</v>
      </c>
      <c r="J76" s="293">
        <f ca="1">IF(I76="","",(VLOOKUP($D76,master_food_list,'Master Food List'!S$91,FALSE)))</f>
        <v>0</v>
      </c>
      <c r="K76" s="293">
        <f ca="1">IF(J76="","",(VLOOKUP($D76,master_food_list,'Master Food List'!T$91,FALSE)))</f>
        <v>140</v>
      </c>
    </row>
    <row r="77" spans="1:11" customFormat="1" ht="17" x14ac:dyDescent="0.2">
      <c r="A77" s="286">
        <v>10</v>
      </c>
      <c r="B77" s="287" t="s">
        <v>463</v>
      </c>
      <c r="C77" s="287" t="s">
        <v>460</v>
      </c>
      <c r="D77" s="289"/>
      <c r="E77" s="293" t="str">
        <f>IF(D77="","",(VLOOKUP($D77,master_food_list,'Master Food List'!N$91,FALSE)))</f>
        <v/>
      </c>
      <c r="F77" s="293" t="str">
        <f>IF(E77="","",(VLOOKUP($D77,master_food_list,'Master Food List'!O$91,FALSE)))</f>
        <v/>
      </c>
      <c r="G77" s="293" t="str">
        <f>IF(F77="","",(VLOOKUP($D77,master_food_list,'Master Food List'!P$91,FALSE)))</f>
        <v/>
      </c>
      <c r="H77" s="293" t="str">
        <f>IF(G77="","",(VLOOKUP($D77,master_food_list,'Master Food List'!Q$91,FALSE)))</f>
        <v/>
      </c>
      <c r="I77" s="293" t="str">
        <f>IF(H77="","",(VLOOKUP($D77,master_food_list,'Master Food List'!R$91,FALSE)))</f>
        <v/>
      </c>
      <c r="J77" s="293" t="str">
        <f>IF(I77="","",(VLOOKUP($D77,master_food_list,'Master Food List'!S$91,FALSE)))</f>
        <v/>
      </c>
      <c r="K77" s="293" t="str">
        <f>IF(J77="","",(VLOOKUP($D77,master_food_list,'Master Food List'!T$91,FALSE)))</f>
        <v/>
      </c>
    </row>
    <row r="78" spans="1:11" customFormat="1" ht="34" x14ac:dyDescent="0.2">
      <c r="A78" s="286">
        <v>10</v>
      </c>
      <c r="B78" s="287" t="s">
        <v>463</v>
      </c>
      <c r="C78" s="287" t="s">
        <v>459</v>
      </c>
      <c r="D78" s="288" t="s">
        <v>327</v>
      </c>
      <c r="E78" s="293">
        <f ca="1">IF(D78="","",(VLOOKUP($D78,master_food_list,'Master Food List'!N$91,FALSE)))</f>
        <v>130</v>
      </c>
      <c r="F78" s="293">
        <f ca="1">IF(E78="","",(VLOOKUP($D78,master_food_list,'Master Food List'!O$91,FALSE)))</f>
        <v>8</v>
      </c>
      <c r="G78" s="293">
        <f ca="1">IF(F78="","",(VLOOKUP($D78,master_food_list,'Master Food List'!P$91,FALSE)))</f>
        <v>7</v>
      </c>
      <c r="H78" s="293">
        <f ca="1">IF(G78="","",(VLOOKUP($D78,master_food_list,'Master Food List'!Q$91,FALSE)))</f>
        <v>8</v>
      </c>
      <c r="I78" s="293">
        <f ca="1">IF(H78="","",(VLOOKUP($D78,master_food_list,'Master Food List'!R$91,FALSE)))</f>
        <v>320</v>
      </c>
      <c r="J78" s="293">
        <f ca="1">IF(I78="","",(VLOOKUP($D78,master_food_list,'Master Food List'!S$91,FALSE)))</f>
        <v>0</v>
      </c>
      <c r="K78" s="293">
        <f ca="1">IF(J78="","",(VLOOKUP($D78,master_food_list,'Master Food List'!T$91,FALSE)))</f>
        <v>99.999999999999986</v>
      </c>
    </row>
    <row r="79" spans="1:11" customFormat="1" ht="17" x14ac:dyDescent="0.2">
      <c r="A79" s="286">
        <v>10</v>
      </c>
      <c r="B79" s="287" t="s">
        <v>463</v>
      </c>
      <c r="C79" s="287" t="s">
        <v>458</v>
      </c>
      <c r="D79" s="289" t="s">
        <v>336</v>
      </c>
      <c r="E79" s="293">
        <f ca="1">IF(D79="","",(VLOOKUP($D79,master_food_list,'Master Food List'!N$91,FALSE)))</f>
        <v>575</v>
      </c>
      <c r="F79" s="293">
        <f ca="1">IF(E79="","",(VLOOKUP($D79,master_food_list,'Master Food List'!O$91,FALSE)))</f>
        <v>77.5</v>
      </c>
      <c r="G79" s="293">
        <f ca="1">IF(F79="","",(VLOOKUP($D79,master_food_list,'Master Food List'!P$91,FALSE)))</f>
        <v>30</v>
      </c>
      <c r="H79" s="293">
        <f ca="1">IF(G79="","",(VLOOKUP($D79,master_food_list,'Master Food List'!Q$91,FALSE)))</f>
        <v>15</v>
      </c>
      <c r="I79" s="293">
        <f ca="1">IF(H79="","",(VLOOKUP($D79,master_food_list,'Master Food List'!R$91,FALSE)))</f>
        <v>1950</v>
      </c>
      <c r="J79" s="293">
        <f ca="1">IF(I79="","",(VLOOKUP($D79,master_food_list,'Master Food List'!S$91,FALSE)))</f>
        <v>0</v>
      </c>
      <c r="K79" s="293">
        <f ca="1">IF(J79="","",(VLOOKUP($D79,master_food_list,'Master Food List'!T$91,FALSE)))</f>
        <v>117.2870984191739</v>
      </c>
    </row>
    <row r="80" spans="1:11" customFormat="1" ht="17" x14ac:dyDescent="0.2">
      <c r="A80" s="286">
        <v>10</v>
      </c>
      <c r="B80" s="287" t="s">
        <v>463</v>
      </c>
      <c r="C80" s="287" t="s">
        <v>457</v>
      </c>
      <c r="D80" s="289" t="s">
        <v>479</v>
      </c>
      <c r="E80" s="293">
        <f ca="1">IF(D80="","",(VLOOKUP($D80,master_food_list,'Master Food List'!N$91,FALSE)))</f>
        <v>300</v>
      </c>
      <c r="F80" s="293">
        <f ca="1">IF(E80="","",(VLOOKUP($D80,master_food_list,'Master Food List'!O$91,FALSE)))</f>
        <v>10.5</v>
      </c>
      <c r="G80" s="293">
        <f ca="1">IF(F80="","",(VLOOKUP($D80,master_food_list,'Master Food List'!P$91,FALSE)))</f>
        <v>10.5</v>
      </c>
      <c r="H80" s="293">
        <f ca="1">IF(G80="","",(VLOOKUP($D80,master_food_list,'Master Food List'!Q$91,FALSE)))</f>
        <v>25.5</v>
      </c>
      <c r="I80" s="293">
        <f ca="1">IF(H80="","",(VLOOKUP($D80,master_food_list,'Master Food List'!R$91,FALSE)))</f>
        <v>150</v>
      </c>
      <c r="J80" s="293">
        <f ca="1">IF(I80="","",(VLOOKUP($D80,master_food_list,'Master Food List'!S$91,FALSE)))</f>
        <v>0</v>
      </c>
      <c r="K80" s="293">
        <f ca="1">IF(J80="","",(VLOOKUP($D80,master_food_list,'Master Food List'!T$91,FALSE)))</f>
        <v>177.77777777777777</v>
      </c>
    </row>
    <row r="81" spans="1:11" customFormat="1" ht="17" x14ac:dyDescent="0.2">
      <c r="A81" s="286">
        <v>10</v>
      </c>
      <c r="B81" s="287" t="s">
        <v>463</v>
      </c>
      <c r="C81" s="287" t="s">
        <v>455</v>
      </c>
      <c r="D81" s="289" t="s">
        <v>478</v>
      </c>
      <c r="E81" s="293">
        <f ca="1">IF(D81="","",(VLOOKUP($D81,master_food_list,'Master Food List'!N$91,FALSE)))</f>
        <v>540</v>
      </c>
      <c r="F81" s="293">
        <f ca="1">IF(E81="","",(VLOOKUP($D81,master_food_list,'Master Food List'!O$91,FALSE)))</f>
        <v>105</v>
      </c>
      <c r="G81" s="293">
        <f ca="1">IF(F81="","",(VLOOKUP($D81,master_food_list,'Master Food List'!P$91,FALSE)))</f>
        <v>6</v>
      </c>
      <c r="H81" s="293">
        <f ca="1">IF(G81="","",(VLOOKUP($D81,master_food_list,'Master Food List'!Q$91,FALSE)))</f>
        <v>12</v>
      </c>
      <c r="I81" s="293">
        <f ca="1">IF(H81="","",(VLOOKUP($D81,master_food_list,'Master Food List'!R$91,FALSE)))</f>
        <v>240</v>
      </c>
      <c r="J81" s="293">
        <f ca="1">IF(I81="","",(VLOOKUP($D81,master_food_list,'Master Food List'!S$91,FALSE)))</f>
        <v>0</v>
      </c>
      <c r="K81" s="293">
        <f ca="1">IF(J81="","",(VLOOKUP($D81,master_food_list,'Master Food List'!T$91,FALSE)))</f>
        <v>117.64705882352942</v>
      </c>
    </row>
    <row r="82" spans="1:11" ht="34" x14ac:dyDescent="0.2">
      <c r="A82" s="296"/>
      <c r="B82" s="300" t="s">
        <v>708</v>
      </c>
      <c r="C82" s="297">
        <f>A83-A8</f>
        <v>11</v>
      </c>
      <c r="D82" s="301"/>
      <c r="E82" s="299"/>
      <c r="F82" s="299"/>
      <c r="G82" s="299"/>
      <c r="H82" s="299"/>
      <c r="I82" s="299"/>
      <c r="J82" s="299"/>
      <c r="K82" s="299"/>
    </row>
    <row r="83" spans="1:11" s="190" customFormat="1" ht="34" x14ac:dyDescent="0.2">
      <c r="A83" s="278">
        <v>11</v>
      </c>
      <c r="B83" s="279" t="s">
        <v>15</v>
      </c>
      <c r="C83" s="279" t="s">
        <v>462</v>
      </c>
      <c r="D83" s="280" t="s">
        <v>498</v>
      </c>
      <c r="E83" s="291">
        <f ca="1">IF(D83="","",(VLOOKUP($D83,master_food_list,'Master Food List'!N$91,FALSE)))</f>
        <v>1020</v>
      </c>
      <c r="F83" s="291">
        <f ca="1">IF(E83="","",(VLOOKUP($D83,master_food_list,'Master Food List'!O$91,FALSE)))</f>
        <v>96</v>
      </c>
      <c r="G83" s="291">
        <f ca="1">IF(F83="","",(VLOOKUP($D83,master_food_list,'Master Food List'!P$91,FALSE)))</f>
        <v>34</v>
      </c>
      <c r="H83" s="291">
        <f ca="1">IF(G83="","",(VLOOKUP($D83,master_food_list,'Master Food List'!Q$91,FALSE)))</f>
        <v>53</v>
      </c>
      <c r="I83" s="291">
        <f ca="1">IF(H83="","",(VLOOKUP($D83,master_food_list,'Master Food List'!R$91,FALSE)))</f>
        <v>2460</v>
      </c>
      <c r="J83" s="291">
        <f ca="1">IF(I83="","",(VLOOKUP($D83,master_food_list,'Master Food List'!S$91,FALSE)))</f>
        <v>0</v>
      </c>
      <c r="K83" s="291">
        <f ca="1">IF(J83="","",(VLOOKUP($D83,master_food_list,'Master Food List'!T$91,FALSE)))</f>
        <v>0</v>
      </c>
    </row>
    <row r="84" spans="1:11" s="190" customFormat="1" ht="34" x14ac:dyDescent="0.2">
      <c r="A84" s="278">
        <v>11</v>
      </c>
      <c r="B84" s="279" t="s">
        <v>15</v>
      </c>
      <c r="C84" s="279" t="s">
        <v>461</v>
      </c>
      <c r="D84" s="280" t="s">
        <v>325</v>
      </c>
      <c r="E84" s="291">
        <f ca="1">IF(D84="","",(VLOOKUP($D84,master_food_list,'Master Food List'!N$91,FALSE)))</f>
        <v>130</v>
      </c>
      <c r="F84" s="291">
        <f ca="1">IF(E84="","",(VLOOKUP($D84,master_food_list,'Master Food List'!O$91,FALSE)))</f>
        <v>12</v>
      </c>
      <c r="G84" s="291">
        <f ca="1">IF(F84="","",(VLOOKUP($D84,master_food_list,'Master Food List'!P$91,FALSE)))</f>
        <v>8</v>
      </c>
      <c r="H84" s="291">
        <f ca="1">IF(G84="","",(VLOOKUP($D84,master_food_list,'Master Food List'!Q$91,FALSE)))</f>
        <v>6</v>
      </c>
      <c r="I84" s="291">
        <f ca="1">IF(H84="","",(VLOOKUP($D84,master_food_list,'Master Food List'!R$91,FALSE)))</f>
        <v>290</v>
      </c>
      <c r="J84" s="291">
        <f ca="1">IF(I84="","",(VLOOKUP($D84,master_food_list,'Master Food List'!S$91,FALSE)))</f>
        <v>0</v>
      </c>
      <c r="K84" s="291">
        <f ca="1">IF(J84="","",(VLOOKUP($D84,master_food_list,'Master Food List'!T$91,FALSE)))</f>
        <v>99.999999999999986</v>
      </c>
    </row>
    <row r="85" spans="1:11" s="190" customFormat="1" ht="34" x14ac:dyDescent="0.2">
      <c r="A85" s="278">
        <v>11</v>
      </c>
      <c r="B85" s="279" t="s">
        <v>15</v>
      </c>
      <c r="C85" s="279" t="s">
        <v>460</v>
      </c>
      <c r="D85" s="281" t="s">
        <v>495</v>
      </c>
      <c r="E85" s="291">
        <f ca="1">IF(D85="","",(VLOOKUP($D85,master_food_list,'Master Food List'!N$91,FALSE)))</f>
        <v>122</v>
      </c>
      <c r="F85" s="291">
        <f ca="1">IF(E85="","",(VLOOKUP($D85,master_food_list,'Master Food List'!O$91,FALSE)))</f>
        <v>18</v>
      </c>
      <c r="G85" s="291">
        <f ca="1">IF(F85="","",(VLOOKUP($D85,master_food_list,'Master Food List'!P$91,FALSE)))</f>
        <v>9</v>
      </c>
      <c r="H85" s="291">
        <f ca="1">IF(G85="","",(VLOOKUP($D85,master_food_list,'Master Food List'!Q$91,FALSE)))</f>
        <v>7.5</v>
      </c>
      <c r="I85" s="291">
        <f ca="1">IF(H85="","",(VLOOKUP($D85,master_food_list,'Master Food List'!R$91,FALSE)))</f>
        <v>105</v>
      </c>
      <c r="J85" s="291">
        <f ca="1">IF(I85="","",(VLOOKUP($D85,master_food_list,'Master Food List'!S$91,FALSE)))</f>
        <v>0</v>
      </c>
      <c r="K85" s="291">
        <f ca="1">IF(J85="","",(VLOOKUP($D85,master_food_list,'Master Food List'!T$91,FALSE)))</f>
        <v>0</v>
      </c>
    </row>
    <row r="86" spans="1:11" s="190" customFormat="1" ht="34" x14ac:dyDescent="0.2">
      <c r="A86" s="278">
        <v>11</v>
      </c>
      <c r="B86" s="279" t="s">
        <v>15</v>
      </c>
      <c r="C86" s="279" t="s">
        <v>459</v>
      </c>
      <c r="D86" s="280" t="s">
        <v>522</v>
      </c>
      <c r="E86" s="291">
        <f ca="1">IF(D86="","",(VLOOKUP($D86,master_food_list,'Master Food List'!N$91,FALSE)))</f>
        <v>300</v>
      </c>
      <c r="F86" s="291">
        <f ca="1">IF(E86="","",(VLOOKUP($D86,master_food_list,'Master Food List'!O$91,FALSE)))</f>
        <v>26</v>
      </c>
      <c r="G86" s="291">
        <f ca="1">IF(F86="","",(VLOOKUP($D86,master_food_list,'Master Food List'!P$91,FALSE)))</f>
        <v>4</v>
      </c>
      <c r="H86" s="291">
        <f ca="1">IF(G86="","",(VLOOKUP($D86,master_food_list,'Master Food List'!Q$91,FALSE)))</f>
        <v>20</v>
      </c>
      <c r="I86" s="291">
        <f ca="1">IF(H86="","",(VLOOKUP($D86,master_food_list,'Master Food List'!R$91,FALSE)))</f>
        <v>500</v>
      </c>
      <c r="J86" s="291">
        <f ca="1">IF(I86="","",(VLOOKUP($D86,master_food_list,'Master Food List'!S$91,FALSE)))</f>
        <v>0</v>
      </c>
      <c r="K86" s="291">
        <f ca="1">IF(J86="","",(VLOOKUP($D86,master_food_list,'Master Food List'!T$91,FALSE)))</f>
        <v>154.28571428571428</v>
      </c>
    </row>
    <row r="87" spans="1:11" s="190" customFormat="1" ht="34" x14ac:dyDescent="0.2">
      <c r="A87" s="278">
        <v>11</v>
      </c>
      <c r="B87" s="279" t="s">
        <v>15</v>
      </c>
      <c r="C87" s="279" t="s">
        <v>458</v>
      </c>
      <c r="D87" s="281" t="s">
        <v>493</v>
      </c>
      <c r="E87" s="291">
        <f ca="1">IF(D87="","",(VLOOKUP($D87,master_food_list,'Master Food List'!N$91,FALSE)))</f>
        <v>1000</v>
      </c>
      <c r="F87" s="291">
        <f ca="1">IF(E87="","",(VLOOKUP($D87,master_food_list,'Master Food List'!O$91,FALSE)))</f>
        <v>112</v>
      </c>
      <c r="G87" s="291">
        <f ca="1">IF(F87="","",(VLOOKUP($D87,master_food_list,'Master Food List'!P$91,FALSE)))</f>
        <v>40</v>
      </c>
      <c r="H87" s="291">
        <f ca="1">IF(G87="","",(VLOOKUP($D87,master_food_list,'Master Food List'!Q$91,FALSE)))</f>
        <v>52</v>
      </c>
      <c r="I87" s="291">
        <f ca="1">IF(H87="","",(VLOOKUP($D87,master_food_list,'Master Food List'!R$91,FALSE)))</f>
        <v>460</v>
      </c>
      <c r="J87" s="291">
        <f ca="1">IF(I87="","",(VLOOKUP($D87,master_food_list,'Master Food List'!S$91,FALSE)))</f>
        <v>0</v>
      </c>
      <c r="K87" s="291">
        <f ca="1">IF(J87="","",(VLOOKUP($D87,master_food_list,'Master Food List'!T$91,FALSE)))</f>
        <v>123.4567901234568</v>
      </c>
    </row>
    <row r="88" spans="1:11" s="190" customFormat="1" ht="34" x14ac:dyDescent="0.2">
      <c r="A88" s="278">
        <v>11</v>
      </c>
      <c r="B88" s="279" t="s">
        <v>15</v>
      </c>
      <c r="C88" s="279" t="s">
        <v>457</v>
      </c>
      <c r="D88" s="281"/>
      <c r="E88" s="291" t="str">
        <f>IF(D88="","",(VLOOKUP($D88,master_food_list,'Master Food List'!N$91,FALSE)))</f>
        <v/>
      </c>
      <c r="F88" s="291" t="str">
        <f>IF(E88="","",(VLOOKUP($D88,master_food_list,'Master Food List'!O$91,FALSE)))</f>
        <v/>
      </c>
      <c r="G88" s="291" t="str">
        <f>IF(F88="","",(VLOOKUP($D88,master_food_list,'Master Food List'!P$91,FALSE)))</f>
        <v/>
      </c>
      <c r="H88" s="291" t="str">
        <f>IF(G88="","",(VLOOKUP($D88,master_food_list,'Master Food List'!Q$91,FALSE)))</f>
        <v/>
      </c>
      <c r="I88" s="291" t="str">
        <f>IF(H88="","",(VLOOKUP($D88,master_food_list,'Master Food List'!R$91,FALSE)))</f>
        <v/>
      </c>
      <c r="J88" s="291" t="str">
        <f>IF(I88="","",(VLOOKUP($D88,master_food_list,'Master Food List'!S$91,FALSE)))</f>
        <v/>
      </c>
      <c r="K88" s="291" t="str">
        <f>IF(J88="","",(VLOOKUP($D88,master_food_list,'Master Food List'!T$91,FALSE)))</f>
        <v/>
      </c>
    </row>
    <row r="89" spans="1:11" s="190" customFormat="1" ht="34" x14ac:dyDescent="0.2">
      <c r="A89" s="278">
        <v>11</v>
      </c>
      <c r="B89" s="279" t="s">
        <v>15</v>
      </c>
      <c r="C89" s="279" t="s">
        <v>455</v>
      </c>
      <c r="D89" s="281" t="s">
        <v>482</v>
      </c>
      <c r="E89" s="291">
        <f ca="1">IF(D89="","",(VLOOKUP($D89,master_food_list,'Master Food List'!N$91,FALSE)))</f>
        <v>110</v>
      </c>
      <c r="F89" s="291">
        <f ca="1">IF(E89="","",(VLOOKUP($D89,master_food_list,'Master Food List'!O$91,FALSE)))</f>
        <v>21</v>
      </c>
      <c r="G89" s="291">
        <f ca="1">IF(F89="","",(VLOOKUP($D89,master_food_list,'Master Food List'!P$91,FALSE)))</f>
        <v>1</v>
      </c>
      <c r="H89" s="291">
        <f ca="1">IF(G89="","",(VLOOKUP($D89,master_food_list,'Master Food List'!Q$91,FALSE)))</f>
        <v>2</v>
      </c>
      <c r="I89" s="291">
        <f ca="1">IF(H89="","",(VLOOKUP($D89,master_food_list,'Master Food List'!R$91,FALSE)))</f>
        <v>150</v>
      </c>
      <c r="J89" s="291">
        <f ca="1">IF(I89="","",(VLOOKUP($D89,master_food_list,'Master Food List'!S$91,FALSE)))</f>
        <v>0</v>
      </c>
      <c r="K89" s="291">
        <f ca="1">IF(J89="","",(VLOOKUP($D89,master_food_list,'Master Food List'!T$91,FALSE)))</f>
        <v>118.27956989247312</v>
      </c>
    </row>
    <row r="90" spans="1:11" s="189" customFormat="1" ht="34" x14ac:dyDescent="0.2">
      <c r="A90" s="282">
        <v>12</v>
      </c>
      <c r="B90" s="283" t="s">
        <v>15</v>
      </c>
      <c r="C90" s="283" t="s">
        <v>462</v>
      </c>
      <c r="D90" s="284" t="s">
        <v>480</v>
      </c>
      <c r="E90" s="292">
        <f ca="1">IF(D90="","",(VLOOKUP($D90,master_food_list,'Master Food List'!N$91,FALSE)))</f>
        <v>620</v>
      </c>
      <c r="F90" s="292">
        <f ca="1">IF(E90="","",(VLOOKUP($D90,master_food_list,'Master Food List'!O$91,FALSE)))</f>
        <v>74</v>
      </c>
      <c r="G90" s="292">
        <f ca="1">IF(F90="","",(VLOOKUP($D90,master_food_list,'Master Food List'!P$91,FALSE)))</f>
        <v>16</v>
      </c>
      <c r="H90" s="292">
        <f ca="1">IF(G90="","",(VLOOKUP($D90,master_food_list,'Master Food List'!Q$91,FALSE)))</f>
        <v>31</v>
      </c>
      <c r="I90" s="292">
        <f ca="1">IF(H90="","",(VLOOKUP($D90,master_food_list,'Master Food List'!R$91,FALSE)))</f>
        <v>280</v>
      </c>
      <c r="J90" s="292">
        <f ca="1">IF(I90="","",(VLOOKUP($D90,master_food_list,'Master Food List'!S$91,FALSE)))</f>
        <v>0</v>
      </c>
      <c r="K90" s="292">
        <f ca="1">IF(J90="","",(VLOOKUP($D90,master_food_list,'Master Food List'!T$91,FALSE)))</f>
        <v>130.52631578947367</v>
      </c>
    </row>
    <row r="91" spans="1:11" s="189" customFormat="1" ht="51" x14ac:dyDescent="0.2">
      <c r="A91" s="282">
        <v>12</v>
      </c>
      <c r="B91" s="283" t="s">
        <v>15</v>
      </c>
      <c r="C91" s="283" t="s">
        <v>461</v>
      </c>
      <c r="D91" s="284" t="s">
        <v>430</v>
      </c>
      <c r="E91" s="292">
        <f ca="1">IF(D91="","",(VLOOKUP($D91,master_food_list,'Master Food List'!N$91,FALSE)))</f>
        <v>510</v>
      </c>
      <c r="F91" s="292">
        <f ca="1">IF(E91="","",(VLOOKUP($D91,master_food_list,'Master Food List'!O$91,FALSE)))</f>
        <v>42</v>
      </c>
      <c r="G91" s="292">
        <f ca="1">IF(F91="","",(VLOOKUP($D91,master_food_list,'Master Food List'!P$91,FALSE)))</f>
        <v>10.5</v>
      </c>
      <c r="H91" s="292">
        <f ca="1">IF(G91="","",(VLOOKUP($D91,master_food_list,'Master Food List'!Q$91,FALSE)))</f>
        <v>33</v>
      </c>
      <c r="I91" s="292">
        <f ca="1">IF(H91="","",(VLOOKUP($D91,master_food_list,'Master Food List'!R$91,FALSE)))</f>
        <v>75</v>
      </c>
      <c r="J91" s="292">
        <f ca="1">IF(I91="","",(VLOOKUP($D91,master_food_list,'Master Food List'!S$91,FALSE)))</f>
        <v>0</v>
      </c>
      <c r="K91" s="292">
        <f ca="1">IF(J91="","",(VLOOKUP($D91,master_food_list,'Master Food List'!T$91,FALSE)))</f>
        <v>170</v>
      </c>
    </row>
    <row r="92" spans="1:11" s="189" customFormat="1" ht="34" x14ac:dyDescent="0.2">
      <c r="A92" s="282">
        <v>12</v>
      </c>
      <c r="B92" s="283" t="s">
        <v>15</v>
      </c>
      <c r="C92" s="283" t="s">
        <v>460</v>
      </c>
      <c r="D92" s="285" t="s">
        <v>495</v>
      </c>
      <c r="E92" s="292">
        <f ca="1">IF(D92="","",(VLOOKUP($D92,master_food_list,'Master Food List'!N$91,FALSE)))</f>
        <v>122</v>
      </c>
      <c r="F92" s="292">
        <f ca="1">IF(E92="","",(VLOOKUP($D92,master_food_list,'Master Food List'!O$91,FALSE)))</f>
        <v>18</v>
      </c>
      <c r="G92" s="292">
        <f ca="1">IF(F92="","",(VLOOKUP($D92,master_food_list,'Master Food List'!P$91,FALSE)))</f>
        <v>9</v>
      </c>
      <c r="H92" s="292">
        <f ca="1">IF(G92="","",(VLOOKUP($D92,master_food_list,'Master Food List'!Q$91,FALSE)))</f>
        <v>7.5</v>
      </c>
      <c r="I92" s="292">
        <f ca="1">IF(H92="","",(VLOOKUP($D92,master_food_list,'Master Food List'!R$91,FALSE)))</f>
        <v>105</v>
      </c>
      <c r="J92" s="292">
        <f ca="1">IF(I92="","",(VLOOKUP($D92,master_food_list,'Master Food List'!S$91,FALSE)))</f>
        <v>0</v>
      </c>
      <c r="K92" s="292">
        <f ca="1">IF(J92="","",(VLOOKUP($D92,master_food_list,'Master Food List'!T$91,FALSE)))</f>
        <v>0</v>
      </c>
    </row>
    <row r="93" spans="1:11" s="189" customFormat="1" ht="34" x14ac:dyDescent="0.2">
      <c r="A93" s="282">
        <v>12</v>
      </c>
      <c r="B93" s="283" t="s">
        <v>15</v>
      </c>
      <c r="C93" s="283" t="s">
        <v>459</v>
      </c>
      <c r="D93" s="284" t="s">
        <v>347</v>
      </c>
      <c r="E93" s="292">
        <f ca="1">IF(D93="","",(VLOOKUP($D93,master_food_list,'Master Food List'!N$91,FALSE)))</f>
        <v>665</v>
      </c>
      <c r="F93" s="292">
        <f ca="1">IF(E93="","",(VLOOKUP($D93,master_food_list,'Master Food List'!O$91,FALSE)))</f>
        <v>0</v>
      </c>
      <c r="G93" s="292">
        <f ca="1">IF(F93="","",(VLOOKUP($D93,master_food_list,'Master Food List'!P$91,FALSE)))</f>
        <v>35</v>
      </c>
      <c r="H93" s="292">
        <f ca="1">IF(G93="","",(VLOOKUP($D93,master_food_list,'Master Food List'!Q$91,FALSE)))</f>
        <v>56</v>
      </c>
      <c r="I93" s="292">
        <f ca="1">IF(H93="","",(VLOOKUP($D93,master_food_list,'Master Food List'!R$91,FALSE)))</f>
        <v>2415</v>
      </c>
      <c r="J93" s="292">
        <f ca="1">IF(I93="","",(VLOOKUP($D93,master_food_list,'Master Food List'!S$91,FALSE)))</f>
        <v>0</v>
      </c>
      <c r="K93" s="292">
        <f ca="1">IF(J93="","",(VLOOKUP($D93,master_food_list,'Master Food List'!T$91,FALSE)))</f>
        <v>180.70652173913044</v>
      </c>
    </row>
    <row r="94" spans="1:11" s="189" customFormat="1" ht="34" x14ac:dyDescent="0.2">
      <c r="A94" s="282">
        <v>12</v>
      </c>
      <c r="B94" s="283" t="s">
        <v>15</v>
      </c>
      <c r="C94" s="283" t="s">
        <v>458</v>
      </c>
      <c r="D94" s="285" t="s">
        <v>452</v>
      </c>
      <c r="E94" s="292">
        <f ca="1">IF(D94="","",(VLOOKUP($D94,master_food_list,'Master Food List'!N$91,FALSE)))</f>
        <v>620</v>
      </c>
      <c r="F94" s="292">
        <f ca="1">IF(E94="","",(VLOOKUP($D94,master_food_list,'Master Food List'!O$91,FALSE)))</f>
        <v>124</v>
      </c>
      <c r="G94" s="292">
        <f ca="1">IF(F94="","",(VLOOKUP($D94,master_food_list,'Master Food List'!P$91,FALSE)))</f>
        <v>22</v>
      </c>
      <c r="H94" s="292">
        <f ca="1">IF(G94="","",(VLOOKUP($D94,master_food_list,'Master Food List'!Q$91,FALSE)))</f>
        <v>7</v>
      </c>
      <c r="I94" s="292">
        <f ca="1">IF(H94="","",(VLOOKUP($D94,master_food_list,'Master Food List'!R$91,FALSE)))</f>
        <v>360</v>
      </c>
      <c r="J94" s="292">
        <f ca="1">IF(I94="","",(VLOOKUP($D94,master_food_list,'Master Food List'!S$91,FALSE)))</f>
        <v>0</v>
      </c>
      <c r="K94" s="292">
        <f ca="1">IF(J94="","",(VLOOKUP($D94,master_food_list,'Master Food List'!T$91,FALSE)))</f>
        <v>103.33333333333333</v>
      </c>
    </row>
    <row r="95" spans="1:11" s="189" customFormat="1" ht="34" x14ac:dyDescent="0.2">
      <c r="A95" s="282">
        <v>12</v>
      </c>
      <c r="B95" s="283" t="s">
        <v>15</v>
      </c>
      <c r="C95" s="283" t="s">
        <v>457</v>
      </c>
      <c r="D95" s="285" t="s">
        <v>479</v>
      </c>
      <c r="E95" s="292">
        <f ca="1">IF(D95="","",(VLOOKUP($D95,master_food_list,'Master Food List'!N$91,FALSE)))</f>
        <v>300</v>
      </c>
      <c r="F95" s="292">
        <f ca="1">IF(E95="","",(VLOOKUP($D95,master_food_list,'Master Food List'!O$91,FALSE)))</f>
        <v>10.5</v>
      </c>
      <c r="G95" s="292">
        <f ca="1">IF(F95="","",(VLOOKUP($D95,master_food_list,'Master Food List'!P$91,FALSE)))</f>
        <v>10.5</v>
      </c>
      <c r="H95" s="292">
        <f ca="1">IF(G95="","",(VLOOKUP($D95,master_food_list,'Master Food List'!Q$91,FALSE)))</f>
        <v>25.5</v>
      </c>
      <c r="I95" s="292">
        <f ca="1">IF(H95="","",(VLOOKUP($D95,master_food_list,'Master Food List'!R$91,FALSE)))</f>
        <v>150</v>
      </c>
      <c r="J95" s="292">
        <f ca="1">IF(I95="","",(VLOOKUP($D95,master_food_list,'Master Food List'!S$91,FALSE)))</f>
        <v>0</v>
      </c>
      <c r="K95" s="292">
        <f ca="1">IF(J95="","",(VLOOKUP($D95,master_food_list,'Master Food List'!T$91,FALSE)))</f>
        <v>177.77777777777777</v>
      </c>
    </row>
    <row r="96" spans="1:11" s="189" customFormat="1" ht="34" x14ac:dyDescent="0.2">
      <c r="A96" s="282">
        <v>12</v>
      </c>
      <c r="B96" s="283" t="s">
        <v>15</v>
      </c>
      <c r="C96" s="283" t="s">
        <v>455</v>
      </c>
      <c r="D96" s="285" t="s">
        <v>483</v>
      </c>
      <c r="E96" s="292">
        <f ca="1">IF(D96="","",(VLOOKUP($D96,master_food_list,'Master Food List'!N$91,FALSE)))</f>
        <v>200</v>
      </c>
      <c r="F96" s="292">
        <f ca="1">IF(E96="","",(VLOOKUP($D96,master_food_list,'Master Food List'!O$91,FALSE)))</f>
        <v>31</v>
      </c>
      <c r="G96" s="292">
        <f ca="1">IF(F96="","",(VLOOKUP($D96,master_food_list,'Master Food List'!P$91,FALSE)))</f>
        <v>2</v>
      </c>
      <c r="H96" s="292">
        <f ca="1">IF(G96="","",(VLOOKUP($D96,master_food_list,'Master Food List'!Q$91,FALSE)))</f>
        <v>8</v>
      </c>
      <c r="I96" s="292">
        <f ca="1">IF(H96="","",(VLOOKUP($D96,master_food_list,'Master Food List'!R$91,FALSE)))</f>
        <v>30</v>
      </c>
      <c r="J96" s="292">
        <f ca="1">IF(I96="","",(VLOOKUP($D96,master_food_list,'Master Food List'!S$91,FALSE)))</f>
        <v>0</v>
      </c>
      <c r="K96" s="292">
        <f ca="1">IF(J96="","",(VLOOKUP($D96,master_food_list,'Master Food List'!T$91,FALSE)))</f>
        <v>133.33333333333334</v>
      </c>
    </row>
    <row r="97" spans="1:11" customFormat="1" ht="34" x14ac:dyDescent="0.2">
      <c r="A97" s="286">
        <v>13</v>
      </c>
      <c r="B97" s="287" t="s">
        <v>15</v>
      </c>
      <c r="C97" s="287" t="s">
        <v>462</v>
      </c>
      <c r="D97" s="288" t="s">
        <v>485</v>
      </c>
      <c r="E97" s="293">
        <f ca="1">IF(D97="","",(VLOOKUP($D97,master_food_list,'Master Food List'!N$91,FALSE)))</f>
        <v>500</v>
      </c>
      <c r="F97" s="293">
        <f ca="1">IF(E97="","",(VLOOKUP($D97,master_food_list,'Master Food List'!O$91,FALSE)))</f>
        <v>74</v>
      </c>
      <c r="G97" s="293">
        <f ca="1">IF(F97="","",(VLOOKUP($D97,master_food_list,'Master Food List'!P$91,FALSE)))</f>
        <v>16</v>
      </c>
      <c r="H97" s="293">
        <f ca="1">IF(G97="","",(VLOOKUP($D97,master_food_list,'Master Food List'!Q$91,FALSE)))</f>
        <v>18</v>
      </c>
      <c r="I97" s="293">
        <f ca="1">IF(H97="","",(VLOOKUP($D97,master_food_list,'Master Food List'!R$91,FALSE)))</f>
        <v>130</v>
      </c>
      <c r="J97" s="293">
        <f ca="1">IF(I97="","",(VLOOKUP($D97,master_food_list,'Master Food List'!S$91,FALSE)))</f>
        <v>0</v>
      </c>
      <c r="K97" s="293">
        <f ca="1">IF(J97="","",(VLOOKUP($D97,master_food_list,'Master Food List'!T$91,FALSE)))</f>
        <v>126.55024044545685</v>
      </c>
    </row>
    <row r="98" spans="1:11" customFormat="1" ht="34" x14ac:dyDescent="0.2">
      <c r="A98" s="286">
        <v>13</v>
      </c>
      <c r="B98" s="287" t="s">
        <v>15</v>
      </c>
      <c r="C98" s="287" t="s">
        <v>461</v>
      </c>
      <c r="D98" s="288" t="s">
        <v>333</v>
      </c>
      <c r="E98" s="293">
        <f ca="1">IF(D98="","",(VLOOKUP($D98,master_food_list,'Master Food List'!N$91,FALSE)))</f>
        <v>325</v>
      </c>
      <c r="F98" s="293">
        <f ca="1">IF(E98="","",(VLOOKUP($D98,master_food_list,'Master Food List'!O$91,FALSE)))</f>
        <v>40</v>
      </c>
      <c r="G98" s="293">
        <f ca="1">IF(F98="","",(VLOOKUP($D98,master_food_list,'Master Food List'!P$91,FALSE)))</f>
        <v>2.5</v>
      </c>
      <c r="H98" s="293">
        <f ca="1">IF(G98="","",(VLOOKUP($D98,master_food_list,'Master Food List'!Q$91,FALSE)))</f>
        <v>17.5</v>
      </c>
      <c r="I98" s="293">
        <f ca="1">IF(H98="","",(VLOOKUP($D98,master_food_list,'Master Food List'!R$91,FALSE)))</f>
        <v>25</v>
      </c>
      <c r="J98" s="293">
        <f ca="1">IF(I98="","",(VLOOKUP($D98,master_food_list,'Master Food List'!S$91,FALSE)))</f>
        <v>0</v>
      </c>
      <c r="K98" s="293">
        <f ca="1">IF(J98="","",(VLOOKUP($D98,master_food_list,'Master Food List'!T$91,FALSE)))</f>
        <v>156.25</v>
      </c>
    </row>
    <row r="99" spans="1:11" customFormat="1" ht="34" x14ac:dyDescent="0.2">
      <c r="A99" s="286">
        <v>13</v>
      </c>
      <c r="B99" s="287" t="s">
        <v>15</v>
      </c>
      <c r="C99" s="287" t="s">
        <v>460</v>
      </c>
      <c r="D99" s="289"/>
      <c r="E99" s="293" t="str">
        <f>IF(D99="","",(VLOOKUP($D99,master_food_list,'Master Food List'!N$91,FALSE)))</f>
        <v/>
      </c>
      <c r="F99" s="293" t="str">
        <f>IF(E99="","",(VLOOKUP($D99,master_food_list,'Master Food List'!O$91,FALSE)))</f>
        <v/>
      </c>
      <c r="G99" s="293" t="str">
        <f>IF(F99="","",(VLOOKUP($D99,master_food_list,'Master Food List'!P$91,FALSE)))</f>
        <v/>
      </c>
      <c r="H99" s="293" t="str">
        <f>IF(G99="","",(VLOOKUP($D99,master_food_list,'Master Food List'!Q$91,FALSE)))</f>
        <v/>
      </c>
      <c r="I99" s="293" t="str">
        <f>IF(H99="","",(VLOOKUP($D99,master_food_list,'Master Food List'!R$91,FALSE)))</f>
        <v/>
      </c>
      <c r="J99" s="293" t="str">
        <f>IF(I99="","",(VLOOKUP($D99,master_food_list,'Master Food List'!S$91,FALSE)))</f>
        <v/>
      </c>
      <c r="K99" s="293" t="str">
        <f>IF(J99="","",(VLOOKUP($D99,master_food_list,'Master Food List'!T$91,FALSE)))</f>
        <v/>
      </c>
    </row>
    <row r="100" spans="1:11" customFormat="1" ht="34" x14ac:dyDescent="0.2">
      <c r="A100" s="286">
        <v>13</v>
      </c>
      <c r="B100" s="287" t="s">
        <v>15</v>
      </c>
      <c r="C100" s="287" t="s">
        <v>459</v>
      </c>
      <c r="D100" s="288" t="s">
        <v>396</v>
      </c>
      <c r="E100" s="293">
        <f ca="1">IF(D100="","",(VLOOKUP($D100,master_food_list,'Master Food List'!N$91,FALSE)))</f>
        <v>270</v>
      </c>
      <c r="F100" s="293">
        <f ca="1">IF(E100="","",(VLOOKUP($D100,master_food_list,'Master Food List'!O$91,FALSE)))</f>
        <v>30</v>
      </c>
      <c r="G100" s="293">
        <f ca="1">IF(F100="","",(VLOOKUP($D100,master_food_list,'Master Food List'!P$91,FALSE)))</f>
        <v>20</v>
      </c>
      <c r="H100" s="293">
        <f ca="1">IF(G100="","",(VLOOKUP($D100,master_food_list,'Master Food List'!Q$91,FALSE)))</f>
        <v>9</v>
      </c>
      <c r="I100" s="293">
        <f ca="1">IF(H100="","",(VLOOKUP($D100,master_food_list,'Master Food List'!R$91,FALSE)))</f>
        <v>200</v>
      </c>
      <c r="J100" s="293">
        <f ca="1">IF(I100="","",(VLOOKUP($D100,master_food_list,'Master Food List'!S$91,FALSE)))</f>
        <v>0</v>
      </c>
      <c r="K100" s="293">
        <f ca="1">IF(J100="","",(VLOOKUP($D100,master_food_list,'Master Food List'!T$91,FALSE)))</f>
        <v>112.5</v>
      </c>
    </row>
    <row r="101" spans="1:11" customFormat="1" ht="34" x14ac:dyDescent="0.2">
      <c r="A101" s="286">
        <v>13</v>
      </c>
      <c r="B101" s="287" t="s">
        <v>15</v>
      </c>
      <c r="C101" s="287" t="s">
        <v>458</v>
      </c>
      <c r="D101" s="289" t="s">
        <v>449</v>
      </c>
      <c r="E101" s="293">
        <f ca="1">IF(D101="","",(VLOOKUP($D101,master_food_list,'Master Food List'!N$91,FALSE)))</f>
        <v>520</v>
      </c>
      <c r="F101" s="293">
        <f ca="1">IF(E101="","",(VLOOKUP($D101,master_food_list,'Master Food List'!O$91,FALSE)))</f>
        <v>104</v>
      </c>
      <c r="G101" s="293">
        <f ca="1">IF(F101="","",(VLOOKUP($D101,master_food_list,'Master Food List'!P$91,FALSE)))</f>
        <v>22</v>
      </c>
      <c r="H101" s="293">
        <f ca="1">IF(G101="","",(VLOOKUP($D101,master_food_list,'Master Food List'!Q$91,FALSE)))</f>
        <v>6</v>
      </c>
      <c r="I101" s="293">
        <f ca="1">IF(H101="","",(VLOOKUP($D101,master_food_list,'Master Food List'!R$91,FALSE)))</f>
        <v>1360</v>
      </c>
      <c r="J101" s="293">
        <f ca="1">IF(I101="","",(VLOOKUP($D101,master_food_list,'Master Food List'!S$91,FALSE)))</f>
        <v>0</v>
      </c>
      <c r="K101" s="293">
        <f ca="1">IF(J101="","",(VLOOKUP($D101,master_food_list,'Master Food List'!T$91,FALSE)))</f>
        <v>92.857142857142861</v>
      </c>
    </row>
    <row r="102" spans="1:11" customFormat="1" ht="34" x14ac:dyDescent="0.2">
      <c r="A102" s="286">
        <v>13</v>
      </c>
      <c r="B102" s="287" t="s">
        <v>15</v>
      </c>
      <c r="C102" s="287" t="s">
        <v>457</v>
      </c>
      <c r="D102" s="289" t="s">
        <v>479</v>
      </c>
      <c r="E102" s="293">
        <f ca="1">IF(D102="","",(VLOOKUP($D102,master_food_list,'Master Food List'!N$91,FALSE)))</f>
        <v>300</v>
      </c>
      <c r="F102" s="293">
        <f ca="1">IF(E102="","",(VLOOKUP($D102,master_food_list,'Master Food List'!O$91,FALSE)))</f>
        <v>10.5</v>
      </c>
      <c r="G102" s="293">
        <f ca="1">IF(F102="","",(VLOOKUP($D102,master_food_list,'Master Food List'!P$91,FALSE)))</f>
        <v>10.5</v>
      </c>
      <c r="H102" s="293">
        <f ca="1">IF(G102="","",(VLOOKUP($D102,master_food_list,'Master Food List'!Q$91,FALSE)))</f>
        <v>25.5</v>
      </c>
      <c r="I102" s="293">
        <f ca="1">IF(H102="","",(VLOOKUP($D102,master_food_list,'Master Food List'!R$91,FALSE)))</f>
        <v>150</v>
      </c>
      <c r="J102" s="293">
        <f ca="1">IF(I102="","",(VLOOKUP($D102,master_food_list,'Master Food List'!S$91,FALSE)))</f>
        <v>0</v>
      </c>
      <c r="K102" s="293">
        <f ca="1">IF(J102="","",(VLOOKUP($D102,master_food_list,'Master Food List'!T$91,FALSE)))</f>
        <v>177.77777777777777</v>
      </c>
    </row>
    <row r="103" spans="1:11" customFormat="1" ht="34" x14ac:dyDescent="0.2">
      <c r="A103" s="286">
        <v>13</v>
      </c>
      <c r="B103" s="287" t="s">
        <v>15</v>
      </c>
      <c r="C103" s="287" t="s">
        <v>455</v>
      </c>
      <c r="D103" s="289" t="s">
        <v>478</v>
      </c>
      <c r="E103" s="293">
        <f ca="1">IF(D103="","",(VLOOKUP($D103,master_food_list,'Master Food List'!N$91,FALSE)))</f>
        <v>540</v>
      </c>
      <c r="F103" s="293">
        <f ca="1">IF(E103="","",(VLOOKUP($D103,master_food_list,'Master Food List'!O$91,FALSE)))</f>
        <v>105</v>
      </c>
      <c r="G103" s="293">
        <f ca="1">IF(F103="","",(VLOOKUP($D103,master_food_list,'Master Food List'!P$91,FALSE)))</f>
        <v>6</v>
      </c>
      <c r="H103" s="293">
        <f ca="1">IF(G103="","",(VLOOKUP($D103,master_food_list,'Master Food List'!Q$91,FALSE)))</f>
        <v>12</v>
      </c>
      <c r="I103" s="293">
        <f ca="1">IF(H103="","",(VLOOKUP($D103,master_food_list,'Master Food List'!R$91,FALSE)))</f>
        <v>240</v>
      </c>
      <c r="J103" s="293">
        <f ca="1">IF(I103="","",(VLOOKUP($D103,master_food_list,'Master Food List'!S$91,FALSE)))</f>
        <v>0</v>
      </c>
      <c r="K103" s="293">
        <f ca="1">IF(J103="","",(VLOOKUP($D103,master_food_list,'Master Food List'!T$91,FALSE)))</f>
        <v>117.64705882352942</v>
      </c>
    </row>
    <row r="104" spans="1:11" customFormat="1" ht="34" x14ac:dyDescent="0.2">
      <c r="A104" s="286">
        <v>14</v>
      </c>
      <c r="B104" s="287" t="s">
        <v>15</v>
      </c>
      <c r="C104" s="287" t="s">
        <v>462</v>
      </c>
      <c r="D104" s="288" t="s">
        <v>480</v>
      </c>
      <c r="E104" s="293">
        <f ca="1">IF(D104="","",(VLOOKUP($D104,master_food_list,'Master Food List'!N$91,FALSE)))</f>
        <v>620</v>
      </c>
      <c r="F104" s="293">
        <f ca="1">IF(E104="","",(VLOOKUP($D104,master_food_list,'Master Food List'!O$91,FALSE)))</f>
        <v>74</v>
      </c>
      <c r="G104" s="293">
        <f ca="1">IF(F104="","",(VLOOKUP($D104,master_food_list,'Master Food List'!P$91,FALSE)))</f>
        <v>16</v>
      </c>
      <c r="H104" s="293">
        <f ca="1">IF(G104="","",(VLOOKUP($D104,master_food_list,'Master Food List'!Q$91,FALSE)))</f>
        <v>31</v>
      </c>
      <c r="I104" s="293">
        <f ca="1">IF(H104="","",(VLOOKUP($D104,master_food_list,'Master Food List'!R$91,FALSE)))</f>
        <v>280</v>
      </c>
      <c r="J104" s="293">
        <f ca="1">IF(I104="","",(VLOOKUP($D104,master_food_list,'Master Food List'!S$91,FALSE)))</f>
        <v>0</v>
      </c>
      <c r="K104" s="293">
        <f ca="1">IF(J104="","",(VLOOKUP($D104,master_food_list,'Master Food List'!T$91,FALSE)))</f>
        <v>130.52631578947367</v>
      </c>
    </row>
    <row r="105" spans="1:11" customFormat="1" ht="34" x14ac:dyDescent="0.2">
      <c r="A105" s="286">
        <v>14</v>
      </c>
      <c r="B105" s="287" t="s">
        <v>15</v>
      </c>
      <c r="C105" s="287" t="s">
        <v>461</v>
      </c>
      <c r="D105" s="288" t="s">
        <v>414</v>
      </c>
      <c r="E105" s="293">
        <f ca="1">IF(D105="","",(VLOOKUP($D105,master_food_list,'Master Food List'!N$91,FALSE)))</f>
        <v>250</v>
      </c>
      <c r="F105" s="293">
        <f ca="1">IF(E105="","",(VLOOKUP($D105,master_food_list,'Master Food List'!O$91,FALSE)))</f>
        <v>33</v>
      </c>
      <c r="G105" s="293">
        <f ca="1">IF(F105="","",(VLOOKUP($D105,master_food_list,'Master Food List'!P$91,FALSE)))</f>
        <v>4</v>
      </c>
      <c r="H105" s="293">
        <f ca="1">IF(G105="","",(VLOOKUP($D105,master_food_list,'Master Food List'!Q$91,FALSE)))</f>
        <v>12</v>
      </c>
      <c r="I105" s="293">
        <f ca="1">IF(H105="","",(VLOOKUP($D105,master_food_list,'Master Food List'!R$91,FALSE)))</f>
        <v>120</v>
      </c>
      <c r="J105" s="293">
        <f ca="1">IF(I105="","",(VLOOKUP($D105,master_food_list,'Master Food List'!S$91,FALSE)))</f>
        <v>0</v>
      </c>
      <c r="K105" s="293">
        <f ca="1">IF(J105="","",(VLOOKUP($D105,master_food_list,'Master Food List'!T$91,FALSE)))</f>
        <v>134.40860215053763</v>
      </c>
    </row>
    <row r="106" spans="1:11" customFormat="1" ht="34" x14ac:dyDescent="0.2">
      <c r="A106" s="286">
        <v>14</v>
      </c>
      <c r="B106" s="287" t="s">
        <v>15</v>
      </c>
      <c r="C106" s="287" t="s">
        <v>460</v>
      </c>
      <c r="D106" s="289"/>
      <c r="E106" s="293" t="str">
        <f>IF(D106="","",(VLOOKUP($D106,master_food_list,'Master Food List'!N$91,FALSE)))</f>
        <v/>
      </c>
      <c r="F106" s="293" t="str">
        <f>IF(E106="","",(VLOOKUP($D106,master_food_list,'Master Food List'!O$91,FALSE)))</f>
        <v/>
      </c>
      <c r="G106" s="293" t="str">
        <f>IF(F106="","",(VLOOKUP($D106,master_food_list,'Master Food List'!P$91,FALSE)))</f>
        <v/>
      </c>
      <c r="H106" s="293" t="str">
        <f>IF(G106="","",(VLOOKUP($D106,master_food_list,'Master Food List'!Q$91,FALSE)))</f>
        <v/>
      </c>
      <c r="I106" s="293" t="str">
        <f>IF(H106="","",(VLOOKUP($D106,master_food_list,'Master Food List'!R$91,FALSE)))</f>
        <v/>
      </c>
      <c r="J106" s="293" t="str">
        <f>IF(I106="","",(VLOOKUP($D106,master_food_list,'Master Food List'!S$91,FALSE)))</f>
        <v/>
      </c>
      <c r="K106" s="293" t="str">
        <f>IF(J106="","",(VLOOKUP($D106,master_food_list,'Master Food List'!T$91,FALSE)))</f>
        <v/>
      </c>
    </row>
    <row r="107" spans="1:11" customFormat="1" ht="34" x14ac:dyDescent="0.2">
      <c r="A107" s="286">
        <v>14</v>
      </c>
      <c r="B107" s="287" t="s">
        <v>15</v>
      </c>
      <c r="C107" s="287" t="s">
        <v>459</v>
      </c>
      <c r="D107" s="288" t="s">
        <v>522</v>
      </c>
      <c r="E107" s="293">
        <f ca="1">IF(D107="","",(VLOOKUP($D107,master_food_list,'Master Food List'!N$91,FALSE)))</f>
        <v>300</v>
      </c>
      <c r="F107" s="293">
        <f ca="1">IF(E107="","",(VLOOKUP($D107,master_food_list,'Master Food List'!O$91,FALSE)))</f>
        <v>26</v>
      </c>
      <c r="G107" s="293">
        <f ca="1">IF(F107="","",(VLOOKUP($D107,master_food_list,'Master Food List'!P$91,FALSE)))</f>
        <v>4</v>
      </c>
      <c r="H107" s="293">
        <f ca="1">IF(G107="","",(VLOOKUP($D107,master_food_list,'Master Food List'!Q$91,FALSE)))</f>
        <v>20</v>
      </c>
      <c r="I107" s="293">
        <f ca="1">IF(H107="","",(VLOOKUP($D107,master_food_list,'Master Food List'!R$91,FALSE)))</f>
        <v>500</v>
      </c>
      <c r="J107" s="293">
        <f ca="1">IF(I107="","",(VLOOKUP($D107,master_food_list,'Master Food List'!S$91,FALSE)))</f>
        <v>0</v>
      </c>
      <c r="K107" s="293">
        <f ca="1">IF(J107="","",(VLOOKUP($D107,master_food_list,'Master Food List'!T$91,FALSE)))</f>
        <v>154.28571428571428</v>
      </c>
    </row>
    <row r="108" spans="1:11" customFormat="1" ht="34" x14ac:dyDescent="0.2">
      <c r="A108" s="286">
        <v>14</v>
      </c>
      <c r="B108" s="287" t="s">
        <v>15</v>
      </c>
      <c r="C108" s="287" t="s">
        <v>458</v>
      </c>
      <c r="D108" s="289" t="s">
        <v>486</v>
      </c>
      <c r="E108" s="293">
        <f ca="1">IF(D108="","",(VLOOKUP($D108,master_food_list,'Master Food List'!N$91,FALSE)))</f>
        <v>960</v>
      </c>
      <c r="F108" s="293">
        <f ca="1">IF(E108="","",(VLOOKUP($D108,master_food_list,'Master Food List'!O$91,FALSE)))</f>
        <v>178</v>
      </c>
      <c r="G108" s="293">
        <f ca="1">IF(F108="","",(VLOOKUP($D108,master_food_list,'Master Food List'!P$91,FALSE)))</f>
        <v>34</v>
      </c>
      <c r="H108" s="293">
        <f ca="1">IF(G108="","",(VLOOKUP($D108,master_food_list,'Master Food List'!Q$91,FALSE)))</f>
        <v>12</v>
      </c>
      <c r="I108" s="293">
        <f ca="1">IF(H108="","",(VLOOKUP($D108,master_food_list,'Master Food List'!R$91,FALSE)))</f>
        <v>1620</v>
      </c>
      <c r="J108" s="293">
        <f ca="1">IF(I108="","",(VLOOKUP($D108,master_food_list,'Master Food List'!S$91,FALSE)))</f>
        <v>0</v>
      </c>
      <c r="K108" s="293">
        <f ca="1">IF(J108="","",(VLOOKUP($D108,master_food_list,'Master Food List'!T$91,FALSE)))</f>
        <v>109.09090909090908</v>
      </c>
    </row>
    <row r="109" spans="1:11" customFormat="1" ht="34" x14ac:dyDescent="0.2">
      <c r="A109" s="286">
        <v>14</v>
      </c>
      <c r="B109" s="287" t="s">
        <v>15</v>
      </c>
      <c r="C109" s="287" t="s">
        <v>457</v>
      </c>
      <c r="D109" s="289" t="s">
        <v>479</v>
      </c>
      <c r="E109" s="293">
        <f ca="1">IF(D109="","",(VLOOKUP($D109,master_food_list,'Master Food List'!N$91,FALSE)))</f>
        <v>300</v>
      </c>
      <c r="F109" s="293">
        <f ca="1">IF(E109="","",(VLOOKUP($D109,master_food_list,'Master Food List'!O$91,FALSE)))</f>
        <v>10.5</v>
      </c>
      <c r="G109" s="293">
        <f ca="1">IF(F109="","",(VLOOKUP($D109,master_food_list,'Master Food List'!P$91,FALSE)))</f>
        <v>10.5</v>
      </c>
      <c r="H109" s="293">
        <f ca="1">IF(G109="","",(VLOOKUP($D109,master_food_list,'Master Food List'!Q$91,FALSE)))</f>
        <v>25.5</v>
      </c>
      <c r="I109" s="293">
        <f ca="1">IF(H109="","",(VLOOKUP($D109,master_food_list,'Master Food List'!R$91,FALSE)))</f>
        <v>150</v>
      </c>
      <c r="J109" s="293">
        <f ca="1">IF(I109="","",(VLOOKUP($D109,master_food_list,'Master Food List'!S$91,FALSE)))</f>
        <v>0</v>
      </c>
      <c r="K109" s="293">
        <f ca="1">IF(J109="","",(VLOOKUP($D109,master_food_list,'Master Food List'!T$91,FALSE)))</f>
        <v>177.77777777777777</v>
      </c>
    </row>
    <row r="110" spans="1:11" customFormat="1" ht="34" x14ac:dyDescent="0.2">
      <c r="A110" s="286">
        <v>14</v>
      </c>
      <c r="B110" s="287" t="s">
        <v>15</v>
      </c>
      <c r="C110" s="287" t="s">
        <v>455</v>
      </c>
      <c r="D110" s="289" t="s">
        <v>313</v>
      </c>
      <c r="E110" s="293">
        <f ca="1">IF(D110="","",(VLOOKUP($D110,master_food_list,'Master Food List'!N$91,FALSE)))</f>
        <v>170</v>
      </c>
      <c r="F110" s="293">
        <f ca="1">IF(E110="","",(VLOOKUP($D110,master_food_list,'Master Food List'!O$91,FALSE)))</f>
        <v>28</v>
      </c>
      <c r="G110" s="293">
        <f ca="1">IF(F110="","",(VLOOKUP($D110,master_food_list,'Master Food List'!P$91,FALSE)))</f>
        <v>2</v>
      </c>
      <c r="H110" s="293">
        <f ca="1">IF(G110="","",(VLOOKUP($D110,master_food_list,'Master Food List'!Q$91,FALSE)))</f>
        <v>6</v>
      </c>
      <c r="I110" s="293">
        <f ca="1">IF(H110="","",(VLOOKUP($D110,master_food_list,'Master Food List'!R$91,FALSE)))</f>
        <v>135</v>
      </c>
      <c r="J110" s="293">
        <f ca="1">IF(I110="","",(VLOOKUP($D110,master_food_list,'Master Food List'!S$91,FALSE)))</f>
        <v>0</v>
      </c>
      <c r="K110" s="293">
        <f ca="1">IF(J110="","",(VLOOKUP($D110,master_food_list,'Master Food List'!T$91,FALSE)))</f>
        <v>150.44247787610621</v>
      </c>
    </row>
    <row r="111" spans="1:11" ht="34" x14ac:dyDescent="0.2">
      <c r="A111" s="296"/>
      <c r="B111" s="300" t="s">
        <v>708</v>
      </c>
      <c r="C111" s="297">
        <f>A112-A83</f>
        <v>4</v>
      </c>
      <c r="D111" s="301"/>
      <c r="E111" s="299"/>
      <c r="F111" s="299"/>
      <c r="G111" s="299"/>
      <c r="H111" s="299"/>
      <c r="I111" s="299"/>
      <c r="J111" s="299"/>
      <c r="K111" s="299"/>
    </row>
    <row r="112" spans="1:11" s="190" customFormat="1" ht="51" x14ac:dyDescent="0.2">
      <c r="A112" s="278">
        <v>15</v>
      </c>
      <c r="B112" s="279" t="s">
        <v>210</v>
      </c>
      <c r="C112" s="279" t="s">
        <v>462</v>
      </c>
      <c r="D112" s="280" t="s">
        <v>498</v>
      </c>
      <c r="E112" s="291">
        <f ca="1">IF(D112="","",(VLOOKUP($D112,master_food_list,'Master Food List'!N$91,FALSE)))</f>
        <v>1020</v>
      </c>
      <c r="F112" s="291">
        <f ca="1">IF(E112="","",(VLOOKUP($D112,master_food_list,'Master Food List'!O$91,FALSE)))</f>
        <v>96</v>
      </c>
      <c r="G112" s="291">
        <f ca="1">IF(F112="","",(VLOOKUP($D112,master_food_list,'Master Food List'!P$91,FALSE)))</f>
        <v>34</v>
      </c>
      <c r="H112" s="291">
        <f ca="1">IF(G112="","",(VLOOKUP($D112,master_food_list,'Master Food List'!Q$91,FALSE)))</f>
        <v>53</v>
      </c>
      <c r="I112" s="291">
        <f ca="1">IF(H112="","",(VLOOKUP($D112,master_food_list,'Master Food List'!R$91,FALSE)))</f>
        <v>2460</v>
      </c>
      <c r="J112" s="291">
        <f ca="1">IF(I112="","",(VLOOKUP($D112,master_food_list,'Master Food List'!S$91,FALSE)))</f>
        <v>0</v>
      </c>
      <c r="K112" s="291">
        <f ca="1">IF(J112="","",(VLOOKUP($D112,master_food_list,'Master Food List'!T$91,FALSE)))</f>
        <v>0</v>
      </c>
    </row>
    <row r="113" spans="1:11" s="190" customFormat="1" ht="51" x14ac:dyDescent="0.2">
      <c r="A113" s="278">
        <v>15</v>
      </c>
      <c r="B113" s="279" t="s">
        <v>210</v>
      </c>
      <c r="C113" s="279" t="s">
        <v>461</v>
      </c>
      <c r="D113" s="280" t="s">
        <v>327</v>
      </c>
      <c r="E113" s="291">
        <f ca="1">IF(D113="","",(VLOOKUP($D113,master_food_list,'Master Food List'!N$91,FALSE)))</f>
        <v>130</v>
      </c>
      <c r="F113" s="291">
        <f ca="1">IF(E113="","",(VLOOKUP($D113,master_food_list,'Master Food List'!O$91,FALSE)))</f>
        <v>8</v>
      </c>
      <c r="G113" s="291">
        <f ca="1">IF(F113="","",(VLOOKUP($D113,master_food_list,'Master Food List'!P$91,FALSE)))</f>
        <v>7</v>
      </c>
      <c r="H113" s="291">
        <f ca="1">IF(G113="","",(VLOOKUP($D113,master_food_list,'Master Food List'!Q$91,FALSE)))</f>
        <v>8</v>
      </c>
      <c r="I113" s="291">
        <f ca="1">IF(H113="","",(VLOOKUP($D113,master_food_list,'Master Food List'!R$91,FALSE)))</f>
        <v>320</v>
      </c>
      <c r="J113" s="291">
        <f ca="1">IF(I113="","",(VLOOKUP($D113,master_food_list,'Master Food List'!S$91,FALSE)))</f>
        <v>0</v>
      </c>
      <c r="K113" s="291">
        <f ca="1">IF(J113="","",(VLOOKUP($D113,master_food_list,'Master Food List'!T$91,FALSE)))</f>
        <v>99.999999999999986</v>
      </c>
    </row>
    <row r="114" spans="1:11" s="190" customFormat="1" ht="51" x14ac:dyDescent="0.2">
      <c r="A114" s="278">
        <v>15</v>
      </c>
      <c r="B114" s="279" t="s">
        <v>210</v>
      </c>
      <c r="C114" s="279" t="s">
        <v>460</v>
      </c>
      <c r="D114" s="281" t="s">
        <v>495</v>
      </c>
      <c r="E114" s="291">
        <f ca="1">IF(D114="","",(VLOOKUP($D114,master_food_list,'Master Food List'!N$91,FALSE)))</f>
        <v>122</v>
      </c>
      <c r="F114" s="291">
        <f ca="1">IF(E114="","",(VLOOKUP($D114,master_food_list,'Master Food List'!O$91,FALSE)))</f>
        <v>18</v>
      </c>
      <c r="G114" s="291">
        <f ca="1">IF(F114="","",(VLOOKUP($D114,master_food_list,'Master Food List'!P$91,FALSE)))</f>
        <v>9</v>
      </c>
      <c r="H114" s="291">
        <f ca="1">IF(G114="","",(VLOOKUP($D114,master_food_list,'Master Food List'!Q$91,FALSE)))</f>
        <v>7.5</v>
      </c>
      <c r="I114" s="291">
        <f ca="1">IF(H114="","",(VLOOKUP($D114,master_food_list,'Master Food List'!R$91,FALSE)))</f>
        <v>105</v>
      </c>
      <c r="J114" s="291">
        <f ca="1">IF(I114="","",(VLOOKUP($D114,master_food_list,'Master Food List'!S$91,FALSE)))</f>
        <v>0</v>
      </c>
      <c r="K114" s="291">
        <f ca="1">IF(J114="","",(VLOOKUP($D114,master_food_list,'Master Food List'!T$91,FALSE)))</f>
        <v>0</v>
      </c>
    </row>
    <row r="115" spans="1:11" s="190" customFormat="1" ht="51" x14ac:dyDescent="0.2">
      <c r="A115" s="278">
        <v>15</v>
      </c>
      <c r="B115" s="279" t="s">
        <v>210</v>
      </c>
      <c r="C115" s="279" t="s">
        <v>459</v>
      </c>
      <c r="D115" s="280" t="s">
        <v>522</v>
      </c>
      <c r="E115" s="291">
        <f ca="1">IF(D115="","",(VLOOKUP($D115,master_food_list,'Master Food List'!N$91,FALSE)))</f>
        <v>300</v>
      </c>
      <c r="F115" s="291">
        <f ca="1">IF(E115="","",(VLOOKUP($D115,master_food_list,'Master Food List'!O$91,FALSE)))</f>
        <v>26</v>
      </c>
      <c r="G115" s="291">
        <f ca="1">IF(F115="","",(VLOOKUP($D115,master_food_list,'Master Food List'!P$91,FALSE)))</f>
        <v>4</v>
      </c>
      <c r="H115" s="291">
        <f ca="1">IF(G115="","",(VLOOKUP($D115,master_food_list,'Master Food List'!Q$91,FALSE)))</f>
        <v>20</v>
      </c>
      <c r="I115" s="291">
        <f ca="1">IF(H115="","",(VLOOKUP($D115,master_food_list,'Master Food List'!R$91,FALSE)))</f>
        <v>500</v>
      </c>
      <c r="J115" s="291">
        <f ca="1">IF(I115="","",(VLOOKUP($D115,master_food_list,'Master Food List'!S$91,FALSE)))</f>
        <v>0</v>
      </c>
      <c r="K115" s="291">
        <f ca="1">IF(J115="","",(VLOOKUP($D115,master_food_list,'Master Food List'!T$91,FALSE)))</f>
        <v>154.28571428571428</v>
      </c>
    </row>
    <row r="116" spans="1:11" s="190" customFormat="1" ht="51" x14ac:dyDescent="0.2">
      <c r="A116" s="278">
        <v>15</v>
      </c>
      <c r="B116" s="279" t="s">
        <v>210</v>
      </c>
      <c r="C116" s="279" t="s">
        <v>458</v>
      </c>
      <c r="D116" s="281" t="s">
        <v>519</v>
      </c>
      <c r="E116" s="291">
        <f ca="1">IF(D116="","",(VLOOKUP($D116,master_food_list,'Master Food List'!N$91,FALSE)))</f>
        <v>380</v>
      </c>
      <c r="F116" s="291">
        <f ca="1">IF(E116="","",(VLOOKUP($D116,master_food_list,'Master Food List'!O$91,FALSE)))</f>
        <v>66</v>
      </c>
      <c r="G116" s="291">
        <f ca="1">IF(F116="","",(VLOOKUP($D116,master_food_list,'Master Food List'!P$91,FALSE)))</f>
        <v>8</v>
      </c>
      <c r="H116" s="291">
        <f ca="1">IF(G116="","",(VLOOKUP($D116,master_food_list,'Master Food List'!Q$91,FALSE)))</f>
        <v>10</v>
      </c>
      <c r="I116" s="291">
        <f ca="1">IF(H116="","",(VLOOKUP($D116,master_food_list,'Master Food List'!R$91,FALSE)))</f>
        <v>500</v>
      </c>
      <c r="J116" s="291">
        <f ca="1">IF(I116="","",(VLOOKUP($D116,master_food_list,'Master Food List'!S$91,FALSE)))</f>
        <v>0</v>
      </c>
      <c r="K116" s="291">
        <f ca="1">IF(J116="","",(VLOOKUP($D116,master_food_list,'Master Food List'!T$91,FALSE)))</f>
        <v>118.75</v>
      </c>
    </row>
    <row r="117" spans="1:11" s="190" customFormat="1" ht="51" x14ac:dyDescent="0.2">
      <c r="A117" s="278">
        <v>15</v>
      </c>
      <c r="B117" s="279" t="s">
        <v>210</v>
      </c>
      <c r="C117" s="279" t="s">
        <v>457</v>
      </c>
      <c r="D117" s="281"/>
      <c r="E117" s="291" t="str">
        <f>IF(D117="","",(VLOOKUP($D117,master_food_list,'Master Food List'!N$91,FALSE)))</f>
        <v/>
      </c>
      <c r="F117" s="291" t="str">
        <f>IF(E117="","",(VLOOKUP($D117,master_food_list,'Master Food List'!O$91,FALSE)))</f>
        <v/>
      </c>
      <c r="G117" s="291" t="str">
        <f>IF(F117="","",(VLOOKUP($D117,master_food_list,'Master Food List'!P$91,FALSE)))</f>
        <v/>
      </c>
      <c r="H117" s="291" t="str">
        <f>IF(G117="","",(VLOOKUP($D117,master_food_list,'Master Food List'!Q$91,FALSE)))</f>
        <v/>
      </c>
      <c r="I117" s="291" t="str">
        <f>IF(H117="","",(VLOOKUP($D117,master_food_list,'Master Food List'!R$91,FALSE)))</f>
        <v/>
      </c>
      <c r="J117" s="291" t="str">
        <f>IF(I117="","",(VLOOKUP($D117,master_food_list,'Master Food List'!S$91,FALSE)))</f>
        <v/>
      </c>
      <c r="K117" s="291" t="str">
        <f>IF(J117="","",(VLOOKUP($D117,master_food_list,'Master Food List'!T$91,FALSE)))</f>
        <v/>
      </c>
    </row>
    <row r="118" spans="1:11" s="190" customFormat="1" ht="51" x14ac:dyDescent="0.2">
      <c r="A118" s="278">
        <v>15</v>
      </c>
      <c r="B118" s="279" t="s">
        <v>210</v>
      </c>
      <c r="C118" s="279" t="s">
        <v>455</v>
      </c>
      <c r="D118" s="281" t="s">
        <v>483</v>
      </c>
      <c r="E118" s="291">
        <f ca="1">IF(D118="","",(VLOOKUP($D118,master_food_list,'Master Food List'!N$91,FALSE)))</f>
        <v>200</v>
      </c>
      <c r="F118" s="291">
        <f ca="1">IF(E118="","",(VLOOKUP($D118,master_food_list,'Master Food List'!O$91,FALSE)))</f>
        <v>31</v>
      </c>
      <c r="G118" s="291">
        <f ca="1">IF(F118="","",(VLOOKUP($D118,master_food_list,'Master Food List'!P$91,FALSE)))</f>
        <v>2</v>
      </c>
      <c r="H118" s="291">
        <f ca="1">IF(G118="","",(VLOOKUP($D118,master_food_list,'Master Food List'!Q$91,FALSE)))</f>
        <v>8</v>
      </c>
      <c r="I118" s="291">
        <f ca="1">IF(H118="","",(VLOOKUP($D118,master_food_list,'Master Food List'!R$91,FALSE)))</f>
        <v>30</v>
      </c>
      <c r="J118" s="291">
        <f ca="1">IF(I118="","",(VLOOKUP($D118,master_food_list,'Master Food List'!S$91,FALSE)))</f>
        <v>0</v>
      </c>
      <c r="K118" s="291">
        <f ca="1">IF(J118="","",(VLOOKUP($D118,master_food_list,'Master Food List'!T$91,FALSE)))</f>
        <v>133.33333333333334</v>
      </c>
    </row>
    <row r="119" spans="1:11" s="190" customFormat="1" ht="51" x14ac:dyDescent="0.2">
      <c r="A119" s="278">
        <v>16</v>
      </c>
      <c r="B119" s="279" t="s">
        <v>210</v>
      </c>
      <c r="C119" s="279" t="s">
        <v>462</v>
      </c>
      <c r="D119" s="280" t="s">
        <v>481</v>
      </c>
      <c r="E119" s="291">
        <f ca="1">IF(D119="","",(VLOOKUP($D119,master_food_list,'Master Food List'!N$91,FALSE)))</f>
        <v>400</v>
      </c>
      <c r="F119" s="291">
        <f ca="1">IF(E119="","",(VLOOKUP($D119,master_food_list,'Master Food List'!O$91,FALSE)))</f>
        <v>72</v>
      </c>
      <c r="G119" s="291">
        <f ca="1">IF(F119="","",(VLOOKUP($D119,master_food_list,'Master Food List'!P$91,FALSE)))</f>
        <v>6</v>
      </c>
      <c r="H119" s="291">
        <f ca="1">IF(G119="","",(VLOOKUP($D119,master_food_list,'Master Food List'!Q$91,FALSE)))</f>
        <v>10</v>
      </c>
      <c r="I119" s="291">
        <f ca="1">IF(H119="","",(VLOOKUP($D119,master_food_list,'Master Food List'!R$91,FALSE)))</f>
        <v>420</v>
      </c>
      <c r="J119" s="291">
        <f ca="1">IF(I119="","",(VLOOKUP($D119,master_food_list,'Master Food List'!S$91,FALSE)))</f>
        <v>0</v>
      </c>
      <c r="K119" s="291">
        <f ca="1">IF(J119="","",(VLOOKUP($D119,master_food_list,'Master Food List'!T$91,FALSE)))</f>
        <v>109.09090909090909</v>
      </c>
    </row>
    <row r="120" spans="1:11" s="190" customFormat="1" ht="51" x14ac:dyDescent="0.2">
      <c r="A120" s="278">
        <v>16</v>
      </c>
      <c r="B120" s="279" t="s">
        <v>210</v>
      </c>
      <c r="C120" s="279" t="s">
        <v>461</v>
      </c>
      <c r="D120" s="280" t="s">
        <v>325</v>
      </c>
      <c r="E120" s="291">
        <f ca="1">IF(D120="","",(VLOOKUP($D120,master_food_list,'Master Food List'!N$91,FALSE)))</f>
        <v>130</v>
      </c>
      <c r="F120" s="291">
        <f ca="1">IF(E120="","",(VLOOKUP($D120,master_food_list,'Master Food List'!O$91,FALSE)))</f>
        <v>12</v>
      </c>
      <c r="G120" s="291">
        <f ca="1">IF(F120="","",(VLOOKUP($D120,master_food_list,'Master Food List'!P$91,FALSE)))</f>
        <v>8</v>
      </c>
      <c r="H120" s="291">
        <f ca="1">IF(G120="","",(VLOOKUP($D120,master_food_list,'Master Food List'!Q$91,FALSE)))</f>
        <v>6</v>
      </c>
      <c r="I120" s="291">
        <f ca="1">IF(H120="","",(VLOOKUP($D120,master_food_list,'Master Food List'!R$91,FALSE)))</f>
        <v>290</v>
      </c>
      <c r="J120" s="291">
        <f ca="1">IF(I120="","",(VLOOKUP($D120,master_food_list,'Master Food List'!S$91,FALSE)))</f>
        <v>0</v>
      </c>
      <c r="K120" s="291">
        <f ca="1">IF(J120="","",(VLOOKUP($D120,master_food_list,'Master Food List'!T$91,FALSE)))</f>
        <v>99.999999999999986</v>
      </c>
    </row>
    <row r="121" spans="1:11" s="190" customFormat="1" ht="51" x14ac:dyDescent="0.2">
      <c r="A121" s="278">
        <v>16</v>
      </c>
      <c r="B121" s="279" t="s">
        <v>210</v>
      </c>
      <c r="C121" s="279" t="s">
        <v>460</v>
      </c>
      <c r="D121" s="281" t="s">
        <v>495</v>
      </c>
      <c r="E121" s="291">
        <f ca="1">IF(D121="","",(VLOOKUP($D121,master_food_list,'Master Food List'!N$91,FALSE)))</f>
        <v>122</v>
      </c>
      <c r="F121" s="291">
        <f ca="1">IF(E121="","",(VLOOKUP($D121,master_food_list,'Master Food List'!O$91,FALSE)))</f>
        <v>18</v>
      </c>
      <c r="G121" s="291">
        <f ca="1">IF(F121="","",(VLOOKUP($D121,master_food_list,'Master Food List'!P$91,FALSE)))</f>
        <v>9</v>
      </c>
      <c r="H121" s="291">
        <f ca="1">IF(G121="","",(VLOOKUP($D121,master_food_list,'Master Food List'!Q$91,FALSE)))</f>
        <v>7.5</v>
      </c>
      <c r="I121" s="291">
        <f ca="1">IF(H121="","",(VLOOKUP($D121,master_food_list,'Master Food List'!R$91,FALSE)))</f>
        <v>105</v>
      </c>
      <c r="J121" s="291">
        <f ca="1">IF(I121="","",(VLOOKUP($D121,master_food_list,'Master Food List'!S$91,FALSE)))</f>
        <v>0</v>
      </c>
      <c r="K121" s="291">
        <f ca="1">IF(J121="","",(VLOOKUP($D121,master_food_list,'Master Food List'!T$91,FALSE)))</f>
        <v>0</v>
      </c>
    </row>
    <row r="122" spans="1:11" s="190" customFormat="1" ht="51" x14ac:dyDescent="0.2">
      <c r="A122" s="278">
        <v>16</v>
      </c>
      <c r="B122" s="279" t="s">
        <v>210</v>
      </c>
      <c r="C122" s="279" t="s">
        <v>459</v>
      </c>
      <c r="D122" s="280" t="s">
        <v>487</v>
      </c>
      <c r="E122" s="291">
        <f ca="1">IF(D122="","",(VLOOKUP($D122,master_food_list,'Master Food List'!N$91,FALSE)))</f>
        <v>225</v>
      </c>
      <c r="F122" s="291">
        <f ca="1">IF(E122="","",(VLOOKUP($D122,master_food_list,'Master Food List'!O$91,FALSE)))</f>
        <v>30</v>
      </c>
      <c r="G122" s="291">
        <f ca="1">IF(F122="","",(VLOOKUP($D122,master_food_list,'Master Food List'!P$91,FALSE)))</f>
        <v>20</v>
      </c>
      <c r="H122" s="291">
        <f ca="1">IF(G122="","",(VLOOKUP($D122,master_food_list,'Master Food List'!Q$91,FALSE)))</f>
        <v>3.75</v>
      </c>
      <c r="I122" s="291">
        <f ca="1">IF(H122="","",(VLOOKUP($D122,master_food_list,'Master Food List'!R$91,FALSE)))</f>
        <v>950</v>
      </c>
      <c r="J122" s="291">
        <f ca="1">IF(I122="","",(VLOOKUP($D122,master_food_list,'Master Food List'!S$91,FALSE)))</f>
        <v>0</v>
      </c>
      <c r="K122" s="291">
        <f ca="1">IF(J122="","",(VLOOKUP($D122,master_food_list,'Master Food List'!T$91,FALSE)))</f>
        <v>83.333333333333329</v>
      </c>
    </row>
    <row r="123" spans="1:11" s="190" customFormat="1" ht="51" x14ac:dyDescent="0.2">
      <c r="A123" s="278">
        <v>16</v>
      </c>
      <c r="B123" s="279" t="s">
        <v>210</v>
      </c>
      <c r="C123" s="279" t="s">
        <v>458</v>
      </c>
      <c r="D123" s="281" t="s">
        <v>294</v>
      </c>
      <c r="E123" s="291">
        <f ca="1">IF(D123="","",(VLOOKUP($D123,master_food_list,'Master Food List'!N$91,FALSE)))</f>
        <v>960</v>
      </c>
      <c r="F123" s="291">
        <f ca="1">IF(E123="","",(VLOOKUP($D123,master_food_list,'Master Food List'!O$91,FALSE)))</f>
        <v>93</v>
      </c>
      <c r="G123" s="291">
        <f ca="1">IF(F123="","",(VLOOKUP($D123,master_food_list,'Master Food List'!P$91,FALSE)))</f>
        <v>39</v>
      </c>
      <c r="H123" s="291">
        <f ca="1">IF(G123="","",(VLOOKUP($D123,master_food_list,'Master Food List'!Q$91,FALSE)))</f>
        <v>45</v>
      </c>
      <c r="I123" s="291">
        <f ca="1">IF(H123="","",(VLOOKUP($D123,master_food_list,'Master Food List'!R$91,FALSE)))</f>
        <v>2040</v>
      </c>
      <c r="J123" s="291">
        <f ca="1">IF(I123="","",(VLOOKUP($D123,master_food_list,'Master Food List'!S$91,FALSE)))</f>
        <v>0</v>
      </c>
      <c r="K123" s="291">
        <f ca="1">IF(J123="","",(VLOOKUP($D123,master_food_list,'Master Food List'!T$91,FALSE)))</f>
        <v>141.03819784524975</v>
      </c>
    </row>
    <row r="124" spans="1:11" s="190" customFormat="1" ht="51" x14ac:dyDescent="0.2">
      <c r="A124" s="278">
        <v>16</v>
      </c>
      <c r="B124" s="279" t="s">
        <v>210</v>
      </c>
      <c r="C124" s="279" t="s">
        <v>457</v>
      </c>
      <c r="D124" s="281"/>
      <c r="E124" s="291" t="str">
        <f>IF(D124="","",(VLOOKUP($D124,master_food_list,'Master Food List'!N$91,FALSE)))</f>
        <v/>
      </c>
      <c r="F124" s="291" t="str">
        <f>IF(E124="","",(VLOOKUP($D124,master_food_list,'Master Food List'!O$91,FALSE)))</f>
        <v/>
      </c>
      <c r="G124" s="291" t="str">
        <f>IF(F124="","",(VLOOKUP($D124,master_food_list,'Master Food List'!P$91,FALSE)))</f>
        <v/>
      </c>
      <c r="H124" s="291" t="str">
        <f>IF(G124="","",(VLOOKUP($D124,master_food_list,'Master Food List'!Q$91,FALSE)))</f>
        <v/>
      </c>
      <c r="I124" s="291" t="str">
        <f>IF(H124="","",(VLOOKUP($D124,master_food_list,'Master Food List'!R$91,FALSE)))</f>
        <v/>
      </c>
      <c r="J124" s="291" t="str">
        <f>IF(I124="","",(VLOOKUP($D124,master_food_list,'Master Food List'!S$91,FALSE)))</f>
        <v/>
      </c>
      <c r="K124" s="291" t="str">
        <f>IF(J124="","",(VLOOKUP($D124,master_food_list,'Master Food List'!T$91,FALSE)))</f>
        <v/>
      </c>
    </row>
    <row r="125" spans="1:11" s="190" customFormat="1" ht="51" x14ac:dyDescent="0.2">
      <c r="A125" s="278">
        <v>16</v>
      </c>
      <c r="B125" s="279" t="s">
        <v>210</v>
      </c>
      <c r="C125" s="279" t="s">
        <v>455</v>
      </c>
      <c r="D125" s="281" t="s">
        <v>482</v>
      </c>
      <c r="E125" s="291">
        <f ca="1">IF(D125="","",(VLOOKUP($D125,master_food_list,'Master Food List'!N$91,FALSE)))</f>
        <v>110</v>
      </c>
      <c r="F125" s="291">
        <f ca="1">IF(E125="","",(VLOOKUP($D125,master_food_list,'Master Food List'!O$91,FALSE)))</f>
        <v>21</v>
      </c>
      <c r="G125" s="291">
        <f ca="1">IF(F125="","",(VLOOKUP($D125,master_food_list,'Master Food List'!P$91,FALSE)))</f>
        <v>1</v>
      </c>
      <c r="H125" s="291">
        <f ca="1">IF(G125="","",(VLOOKUP($D125,master_food_list,'Master Food List'!Q$91,FALSE)))</f>
        <v>2</v>
      </c>
      <c r="I125" s="291">
        <f ca="1">IF(H125="","",(VLOOKUP($D125,master_food_list,'Master Food List'!R$91,FALSE)))</f>
        <v>150</v>
      </c>
      <c r="J125" s="291">
        <f ca="1">IF(I125="","",(VLOOKUP($D125,master_food_list,'Master Food List'!S$91,FALSE)))</f>
        <v>0</v>
      </c>
      <c r="K125" s="291">
        <f ca="1">IF(J125="","",(VLOOKUP($D125,master_food_list,'Master Food List'!T$91,FALSE)))</f>
        <v>118.27956989247312</v>
      </c>
    </row>
    <row r="126" spans="1:11" s="189" customFormat="1" ht="51" x14ac:dyDescent="0.2">
      <c r="A126" s="282">
        <v>17</v>
      </c>
      <c r="B126" s="283" t="s">
        <v>210</v>
      </c>
      <c r="C126" s="283" t="s">
        <v>462</v>
      </c>
      <c r="D126" s="284" t="s">
        <v>480</v>
      </c>
      <c r="E126" s="292">
        <f ca="1">IF(D126="","",(VLOOKUP($D126,master_food_list,'Master Food List'!N$91,FALSE)))</f>
        <v>620</v>
      </c>
      <c r="F126" s="292">
        <f ca="1">IF(E126="","",(VLOOKUP($D126,master_food_list,'Master Food List'!O$91,FALSE)))</f>
        <v>74</v>
      </c>
      <c r="G126" s="292">
        <f ca="1">IF(F126="","",(VLOOKUP($D126,master_food_list,'Master Food List'!P$91,FALSE)))</f>
        <v>16</v>
      </c>
      <c r="H126" s="292">
        <f ca="1">IF(G126="","",(VLOOKUP($D126,master_food_list,'Master Food List'!Q$91,FALSE)))</f>
        <v>31</v>
      </c>
      <c r="I126" s="292">
        <f ca="1">IF(H126="","",(VLOOKUP($D126,master_food_list,'Master Food List'!R$91,FALSE)))</f>
        <v>280</v>
      </c>
      <c r="J126" s="292">
        <f ca="1">IF(I126="","",(VLOOKUP($D126,master_food_list,'Master Food List'!S$91,FALSE)))</f>
        <v>0</v>
      </c>
      <c r="K126" s="292">
        <f ca="1">IF(J126="","",(VLOOKUP($D126,master_food_list,'Master Food List'!T$91,FALSE)))</f>
        <v>130.52631578947367</v>
      </c>
    </row>
    <row r="127" spans="1:11" s="189" customFormat="1" ht="51" x14ac:dyDescent="0.2">
      <c r="A127" s="282">
        <v>17</v>
      </c>
      <c r="B127" s="283" t="s">
        <v>210</v>
      </c>
      <c r="C127" s="283" t="s">
        <v>461</v>
      </c>
      <c r="D127" s="284" t="s">
        <v>430</v>
      </c>
      <c r="E127" s="292">
        <f ca="1">IF(D127="","",(VLOOKUP($D127,master_food_list,'Master Food List'!N$91,FALSE)))</f>
        <v>510</v>
      </c>
      <c r="F127" s="292">
        <f ca="1">IF(E127="","",(VLOOKUP($D127,master_food_list,'Master Food List'!O$91,FALSE)))</f>
        <v>42</v>
      </c>
      <c r="G127" s="292">
        <f ca="1">IF(F127="","",(VLOOKUP($D127,master_food_list,'Master Food List'!P$91,FALSE)))</f>
        <v>10.5</v>
      </c>
      <c r="H127" s="292">
        <f ca="1">IF(G127="","",(VLOOKUP($D127,master_food_list,'Master Food List'!Q$91,FALSE)))</f>
        <v>33</v>
      </c>
      <c r="I127" s="292">
        <f ca="1">IF(H127="","",(VLOOKUP($D127,master_food_list,'Master Food List'!R$91,FALSE)))</f>
        <v>75</v>
      </c>
      <c r="J127" s="292">
        <f ca="1">IF(I127="","",(VLOOKUP($D127,master_food_list,'Master Food List'!S$91,FALSE)))</f>
        <v>0</v>
      </c>
      <c r="K127" s="292">
        <f ca="1">IF(J127="","",(VLOOKUP($D127,master_food_list,'Master Food List'!T$91,FALSE)))</f>
        <v>170</v>
      </c>
    </row>
    <row r="128" spans="1:11" s="189" customFormat="1" ht="51" x14ac:dyDescent="0.2">
      <c r="A128" s="282">
        <v>17</v>
      </c>
      <c r="B128" s="283" t="s">
        <v>210</v>
      </c>
      <c r="C128" s="283" t="s">
        <v>460</v>
      </c>
      <c r="D128" s="285"/>
      <c r="E128" s="292" t="str">
        <f>IF(D128="","",(VLOOKUP($D128,master_food_list,'Master Food List'!N$91,FALSE)))</f>
        <v/>
      </c>
      <c r="F128" s="292" t="str">
        <f>IF(E128="","",(VLOOKUP($D128,master_food_list,'Master Food List'!O$91,FALSE)))</f>
        <v/>
      </c>
      <c r="G128" s="292" t="str">
        <f>IF(F128="","",(VLOOKUP($D128,master_food_list,'Master Food List'!P$91,FALSE)))</f>
        <v/>
      </c>
      <c r="H128" s="292" t="str">
        <f>IF(G128="","",(VLOOKUP($D128,master_food_list,'Master Food List'!Q$91,FALSE)))</f>
        <v/>
      </c>
      <c r="I128" s="292" t="str">
        <f>IF(H128="","",(VLOOKUP($D128,master_food_list,'Master Food List'!R$91,FALSE)))</f>
        <v/>
      </c>
      <c r="J128" s="292" t="str">
        <f>IF(I128="","",(VLOOKUP($D128,master_food_list,'Master Food List'!S$91,FALSE)))</f>
        <v/>
      </c>
      <c r="K128" s="292" t="str">
        <f>IF(J128="","",(VLOOKUP($D128,master_food_list,'Master Food List'!T$91,FALSE)))</f>
        <v/>
      </c>
    </row>
    <row r="129" spans="1:11" s="189" customFormat="1" ht="51" x14ac:dyDescent="0.2">
      <c r="A129" s="282">
        <v>17</v>
      </c>
      <c r="B129" s="283" t="s">
        <v>210</v>
      </c>
      <c r="C129" s="283" t="s">
        <v>459</v>
      </c>
      <c r="D129" s="284" t="s">
        <v>433</v>
      </c>
      <c r="E129" s="292">
        <f ca="1">IF(D129="","",(VLOOKUP($D129,master_food_list,'Master Food List'!N$91,FALSE)))</f>
        <v>280</v>
      </c>
      <c r="F129" s="292">
        <f ca="1">IF(E129="","",(VLOOKUP($D129,master_food_list,'Master Food List'!O$91,FALSE)))</f>
        <v>34</v>
      </c>
      <c r="G129" s="292">
        <f ca="1">IF(F129="","",(VLOOKUP($D129,master_food_list,'Master Food List'!P$91,FALSE)))</f>
        <v>2</v>
      </c>
      <c r="H129" s="292">
        <f ca="1">IF(G129="","",(VLOOKUP($D129,master_food_list,'Master Food List'!Q$91,FALSE)))</f>
        <v>17</v>
      </c>
      <c r="I129" s="292">
        <f ca="1">IF(H129="","",(VLOOKUP($D129,master_food_list,'Master Food List'!R$91,FALSE)))</f>
        <v>0</v>
      </c>
      <c r="J129" s="292">
        <f ca="1">IF(I129="","",(VLOOKUP($D129,master_food_list,'Master Food List'!S$91,FALSE)))</f>
        <v>0</v>
      </c>
      <c r="K129" s="292">
        <f ca="1">IF(J129="","",(VLOOKUP($D129,master_food_list,'Master Food List'!T$91,FALSE)))</f>
        <v>140</v>
      </c>
    </row>
    <row r="130" spans="1:11" s="189" customFormat="1" ht="51" x14ac:dyDescent="0.2">
      <c r="A130" s="282">
        <v>17</v>
      </c>
      <c r="B130" s="283" t="s">
        <v>210</v>
      </c>
      <c r="C130" s="283" t="s">
        <v>458</v>
      </c>
      <c r="D130" s="285" t="s">
        <v>503</v>
      </c>
      <c r="E130" s="292">
        <f ca="1">IF(D130="","",(VLOOKUP($D130,master_food_list,'Master Food List'!N$91,FALSE)))</f>
        <v>880</v>
      </c>
      <c r="F130" s="292">
        <f ca="1">IF(E130="","",(VLOOKUP($D130,master_food_list,'Master Food List'!O$91,FALSE)))</f>
        <v>122</v>
      </c>
      <c r="G130" s="292">
        <f ca="1">IF(F130="","",(VLOOKUP($D130,master_food_list,'Master Food List'!P$91,FALSE)))</f>
        <v>36</v>
      </c>
      <c r="H130" s="292">
        <f ca="1">IF(G130="","",(VLOOKUP($D130,master_food_list,'Master Food List'!Q$91,FALSE)))</f>
        <v>36</v>
      </c>
      <c r="I130" s="292">
        <f ca="1">IF(H130="","",(VLOOKUP($D130,master_food_list,'Master Food List'!R$91,FALSE)))</f>
        <v>920</v>
      </c>
      <c r="J130" s="292">
        <f ca="1">IF(I130="","",(VLOOKUP($D130,master_food_list,'Master Food List'!S$91,FALSE)))</f>
        <v>0</v>
      </c>
      <c r="K130" s="292">
        <f ca="1">IF(J130="","",(VLOOKUP($D130,master_food_list,'Master Food List'!T$91,FALSE)))</f>
        <v>110</v>
      </c>
    </row>
    <row r="131" spans="1:11" s="189" customFormat="1" ht="51" x14ac:dyDescent="0.2">
      <c r="A131" s="282">
        <v>17</v>
      </c>
      <c r="B131" s="283" t="s">
        <v>210</v>
      </c>
      <c r="C131" s="283" t="s">
        <v>457</v>
      </c>
      <c r="D131" s="285" t="s">
        <v>479</v>
      </c>
      <c r="E131" s="292">
        <f ca="1">IF(D131="","",(VLOOKUP($D131,master_food_list,'Master Food List'!N$91,FALSE)))</f>
        <v>300</v>
      </c>
      <c r="F131" s="292">
        <f ca="1">IF(E131="","",(VLOOKUP($D131,master_food_list,'Master Food List'!O$91,FALSE)))</f>
        <v>10.5</v>
      </c>
      <c r="G131" s="292">
        <f ca="1">IF(F131="","",(VLOOKUP($D131,master_food_list,'Master Food List'!P$91,FALSE)))</f>
        <v>10.5</v>
      </c>
      <c r="H131" s="292">
        <f ca="1">IF(G131="","",(VLOOKUP($D131,master_food_list,'Master Food List'!Q$91,FALSE)))</f>
        <v>25.5</v>
      </c>
      <c r="I131" s="292">
        <f ca="1">IF(H131="","",(VLOOKUP($D131,master_food_list,'Master Food List'!R$91,FALSE)))</f>
        <v>150</v>
      </c>
      <c r="J131" s="292">
        <f ca="1">IF(I131="","",(VLOOKUP($D131,master_food_list,'Master Food List'!S$91,FALSE)))</f>
        <v>0</v>
      </c>
      <c r="K131" s="292">
        <f ca="1">IF(J131="","",(VLOOKUP($D131,master_food_list,'Master Food List'!T$91,FALSE)))</f>
        <v>177.77777777777777</v>
      </c>
    </row>
    <row r="132" spans="1:11" s="189" customFormat="1" ht="51" x14ac:dyDescent="0.2">
      <c r="A132" s="282">
        <v>17</v>
      </c>
      <c r="B132" s="283" t="s">
        <v>210</v>
      </c>
      <c r="C132" s="283" t="s">
        <v>455</v>
      </c>
      <c r="D132" s="285" t="s">
        <v>484</v>
      </c>
      <c r="E132" s="292">
        <f ca="1">IF(D132="","",(VLOOKUP($D132,master_food_list,'Master Food List'!N$91,FALSE)))</f>
        <v>540</v>
      </c>
      <c r="F132" s="292">
        <f ca="1">IF(E132="","",(VLOOKUP($D132,master_food_list,'Master Food List'!O$91,FALSE)))</f>
        <v>72</v>
      </c>
      <c r="G132" s="292">
        <f ca="1">IF(F132="","",(VLOOKUP($D132,master_food_list,'Master Food List'!P$91,FALSE)))</f>
        <v>14</v>
      </c>
      <c r="H132" s="292">
        <f ca="1">IF(G132="","",(VLOOKUP($D132,master_food_list,'Master Food List'!Q$91,FALSE)))</f>
        <v>22</v>
      </c>
      <c r="I132" s="292">
        <f ca="1">IF(H132="","",(VLOOKUP($D132,master_food_list,'Master Food List'!R$91,FALSE)))</f>
        <v>780</v>
      </c>
      <c r="J132" s="292">
        <f ca="1">IF(I132="","",(VLOOKUP($D132,master_food_list,'Master Food List'!S$91,FALSE)))</f>
        <v>0</v>
      </c>
      <c r="K132" s="292">
        <f ca="1">IF(J132="","",(VLOOKUP($D132,master_food_list,'Master Food List'!T$91,FALSE)))</f>
        <v>117.39130434782609</v>
      </c>
    </row>
    <row r="133" spans="1:11" customFormat="1" ht="51" x14ac:dyDescent="0.2">
      <c r="A133" s="286">
        <v>18</v>
      </c>
      <c r="B133" s="287" t="s">
        <v>210</v>
      </c>
      <c r="C133" s="287" t="s">
        <v>462</v>
      </c>
      <c r="D133" s="288" t="s">
        <v>481</v>
      </c>
      <c r="E133" s="293">
        <f ca="1">IF(D133="","",(VLOOKUP($D133,master_food_list,'Master Food List'!N$91,FALSE)))</f>
        <v>400</v>
      </c>
      <c r="F133" s="293">
        <f ca="1">IF(E133="","",(VLOOKUP($D133,master_food_list,'Master Food List'!O$91,FALSE)))</f>
        <v>72</v>
      </c>
      <c r="G133" s="293">
        <f ca="1">IF(F133="","",(VLOOKUP($D133,master_food_list,'Master Food List'!P$91,FALSE)))</f>
        <v>6</v>
      </c>
      <c r="H133" s="293">
        <f ca="1">IF(G133="","",(VLOOKUP($D133,master_food_list,'Master Food List'!Q$91,FALSE)))</f>
        <v>10</v>
      </c>
      <c r="I133" s="293">
        <f ca="1">IF(H133="","",(VLOOKUP($D133,master_food_list,'Master Food List'!R$91,FALSE)))</f>
        <v>420</v>
      </c>
      <c r="J133" s="293">
        <f ca="1">IF(I133="","",(VLOOKUP($D133,master_food_list,'Master Food List'!S$91,FALSE)))</f>
        <v>0</v>
      </c>
      <c r="K133" s="293">
        <f ca="1">IF(J133="","",(VLOOKUP($D133,master_food_list,'Master Food List'!T$91,FALSE)))</f>
        <v>109.09090909090909</v>
      </c>
    </row>
    <row r="134" spans="1:11" customFormat="1" ht="51" x14ac:dyDescent="0.2">
      <c r="A134" s="286">
        <v>18</v>
      </c>
      <c r="B134" s="287" t="s">
        <v>210</v>
      </c>
      <c r="C134" s="287" t="s">
        <v>461</v>
      </c>
      <c r="D134" s="288" t="s">
        <v>433</v>
      </c>
      <c r="E134" s="293">
        <f ca="1">IF(D134="","",(VLOOKUP($D134,master_food_list,'Master Food List'!N$91,FALSE)))</f>
        <v>280</v>
      </c>
      <c r="F134" s="293">
        <f ca="1">IF(E134="","",(VLOOKUP($D134,master_food_list,'Master Food List'!O$91,FALSE)))</f>
        <v>34</v>
      </c>
      <c r="G134" s="293">
        <f ca="1">IF(F134="","",(VLOOKUP($D134,master_food_list,'Master Food List'!P$91,FALSE)))</f>
        <v>2</v>
      </c>
      <c r="H134" s="293">
        <f ca="1">IF(G134="","",(VLOOKUP($D134,master_food_list,'Master Food List'!Q$91,FALSE)))</f>
        <v>17</v>
      </c>
      <c r="I134" s="293">
        <f ca="1">IF(H134="","",(VLOOKUP($D134,master_food_list,'Master Food List'!R$91,FALSE)))</f>
        <v>0</v>
      </c>
      <c r="J134" s="293">
        <f ca="1">IF(I134="","",(VLOOKUP($D134,master_food_list,'Master Food List'!S$91,FALSE)))</f>
        <v>0</v>
      </c>
      <c r="K134" s="293">
        <f ca="1">IF(J134="","",(VLOOKUP($D134,master_food_list,'Master Food List'!T$91,FALSE)))</f>
        <v>140</v>
      </c>
    </row>
    <row r="135" spans="1:11" customFormat="1" ht="51" x14ac:dyDescent="0.2">
      <c r="A135" s="286">
        <v>18</v>
      </c>
      <c r="B135" s="287" t="s">
        <v>210</v>
      </c>
      <c r="C135" s="287" t="s">
        <v>460</v>
      </c>
      <c r="D135" s="289"/>
      <c r="E135" s="293" t="str">
        <f>IF(D135="","",(VLOOKUP($D135,master_food_list,'Master Food List'!N$91,FALSE)))</f>
        <v/>
      </c>
      <c r="F135" s="293" t="str">
        <f>IF(E135="","",(VLOOKUP($D135,master_food_list,'Master Food List'!O$91,FALSE)))</f>
        <v/>
      </c>
      <c r="G135" s="293" t="str">
        <f>IF(F135="","",(VLOOKUP($D135,master_food_list,'Master Food List'!P$91,FALSE)))</f>
        <v/>
      </c>
      <c r="H135" s="293" t="str">
        <f>IF(G135="","",(VLOOKUP($D135,master_food_list,'Master Food List'!Q$91,FALSE)))</f>
        <v/>
      </c>
      <c r="I135" s="293" t="str">
        <f>IF(H135="","",(VLOOKUP($D135,master_food_list,'Master Food List'!R$91,FALSE)))</f>
        <v/>
      </c>
      <c r="J135" s="293" t="str">
        <f>IF(I135="","",(VLOOKUP($D135,master_food_list,'Master Food List'!S$91,FALSE)))</f>
        <v/>
      </c>
      <c r="K135" s="293" t="str">
        <f>IF(J135="","",(VLOOKUP($D135,master_food_list,'Master Food List'!T$91,FALSE)))</f>
        <v/>
      </c>
    </row>
    <row r="136" spans="1:11" customFormat="1" ht="51" x14ac:dyDescent="0.2">
      <c r="A136" s="286">
        <v>18</v>
      </c>
      <c r="B136" s="287" t="s">
        <v>210</v>
      </c>
      <c r="C136" s="287" t="s">
        <v>459</v>
      </c>
      <c r="D136" s="288" t="s">
        <v>347</v>
      </c>
      <c r="E136" s="293">
        <f ca="1">IF(D136="","",(VLOOKUP($D136,master_food_list,'Master Food List'!N$91,FALSE)))</f>
        <v>665</v>
      </c>
      <c r="F136" s="293">
        <f ca="1">IF(E136="","",(VLOOKUP($D136,master_food_list,'Master Food List'!O$91,FALSE)))</f>
        <v>0</v>
      </c>
      <c r="G136" s="293">
        <f ca="1">IF(F136="","",(VLOOKUP($D136,master_food_list,'Master Food List'!P$91,FALSE)))</f>
        <v>35</v>
      </c>
      <c r="H136" s="293">
        <f ca="1">IF(G136="","",(VLOOKUP($D136,master_food_list,'Master Food List'!Q$91,FALSE)))</f>
        <v>56</v>
      </c>
      <c r="I136" s="293">
        <f ca="1">IF(H136="","",(VLOOKUP($D136,master_food_list,'Master Food List'!R$91,FALSE)))</f>
        <v>2415</v>
      </c>
      <c r="J136" s="293">
        <f ca="1">IF(I136="","",(VLOOKUP($D136,master_food_list,'Master Food List'!S$91,FALSE)))</f>
        <v>0</v>
      </c>
      <c r="K136" s="293">
        <f ca="1">IF(J136="","",(VLOOKUP($D136,master_food_list,'Master Food List'!T$91,FALSE)))</f>
        <v>180.70652173913044</v>
      </c>
    </row>
    <row r="137" spans="1:11" customFormat="1" ht="51" x14ac:dyDescent="0.2">
      <c r="A137" s="286">
        <v>18</v>
      </c>
      <c r="B137" s="287" t="s">
        <v>210</v>
      </c>
      <c r="C137" s="287" t="s">
        <v>458</v>
      </c>
      <c r="D137" s="289" t="s">
        <v>504</v>
      </c>
      <c r="E137" s="293">
        <f ca="1">IF(D137="","",(VLOOKUP($D137,master_food_list,'Master Food List'!N$91,FALSE)))</f>
        <v>860</v>
      </c>
      <c r="F137" s="293">
        <f ca="1">IF(E137="","",(VLOOKUP($D137,master_food_list,'Master Food List'!O$91,FALSE)))</f>
        <v>112</v>
      </c>
      <c r="G137" s="293">
        <f ca="1">IF(F137="","",(VLOOKUP($D137,master_food_list,'Master Food List'!P$91,FALSE)))</f>
        <v>38</v>
      </c>
      <c r="H137" s="293">
        <f ca="1">IF(G137="","",(VLOOKUP($D137,master_food_list,'Master Food List'!Q$91,FALSE)))</f>
        <v>28</v>
      </c>
      <c r="I137" s="293">
        <f ca="1">IF(H137="","",(VLOOKUP($D137,master_food_list,'Master Food List'!R$91,FALSE)))</f>
        <v>1220</v>
      </c>
      <c r="J137" s="293">
        <f ca="1">IF(I137="","",(VLOOKUP($D137,master_food_list,'Master Food List'!S$91,FALSE)))</f>
        <v>0</v>
      </c>
      <c r="K137" s="293">
        <f ca="1">IF(J137="","",(VLOOKUP($D137,master_food_list,'Master Food List'!T$91,FALSE)))</f>
        <v>121.12676056338029</v>
      </c>
    </row>
    <row r="138" spans="1:11" customFormat="1" ht="51" x14ac:dyDescent="0.2">
      <c r="A138" s="286">
        <v>18</v>
      </c>
      <c r="B138" s="287" t="s">
        <v>210</v>
      </c>
      <c r="C138" s="287" t="s">
        <v>457</v>
      </c>
      <c r="D138" s="289" t="s">
        <v>479</v>
      </c>
      <c r="E138" s="293">
        <f ca="1">IF(D138="","",(VLOOKUP($D138,master_food_list,'Master Food List'!N$91,FALSE)))</f>
        <v>300</v>
      </c>
      <c r="F138" s="293">
        <f ca="1">IF(E138="","",(VLOOKUP($D138,master_food_list,'Master Food List'!O$91,FALSE)))</f>
        <v>10.5</v>
      </c>
      <c r="G138" s="293">
        <f ca="1">IF(F138="","",(VLOOKUP($D138,master_food_list,'Master Food List'!P$91,FALSE)))</f>
        <v>10.5</v>
      </c>
      <c r="H138" s="293">
        <f ca="1">IF(G138="","",(VLOOKUP($D138,master_food_list,'Master Food List'!Q$91,FALSE)))</f>
        <v>25.5</v>
      </c>
      <c r="I138" s="293">
        <f ca="1">IF(H138="","",(VLOOKUP($D138,master_food_list,'Master Food List'!R$91,FALSE)))</f>
        <v>150</v>
      </c>
      <c r="J138" s="293">
        <f ca="1">IF(I138="","",(VLOOKUP($D138,master_food_list,'Master Food List'!S$91,FALSE)))</f>
        <v>0</v>
      </c>
      <c r="K138" s="293">
        <f ca="1">IF(J138="","",(VLOOKUP($D138,master_food_list,'Master Food List'!T$91,FALSE)))</f>
        <v>177.77777777777777</v>
      </c>
    </row>
    <row r="139" spans="1:11" customFormat="1" ht="51" x14ac:dyDescent="0.2">
      <c r="A139" s="286">
        <v>18</v>
      </c>
      <c r="B139" s="287" t="s">
        <v>210</v>
      </c>
      <c r="C139" s="287" t="s">
        <v>455</v>
      </c>
      <c r="D139" s="289" t="s">
        <v>313</v>
      </c>
      <c r="E139" s="293">
        <f ca="1">IF(D139="","",(VLOOKUP($D139,master_food_list,'Master Food List'!N$91,FALSE)))</f>
        <v>170</v>
      </c>
      <c r="F139" s="293">
        <f ca="1">IF(E139="","",(VLOOKUP($D139,master_food_list,'Master Food List'!O$91,FALSE)))</f>
        <v>28</v>
      </c>
      <c r="G139" s="293">
        <f ca="1">IF(F139="","",(VLOOKUP($D139,master_food_list,'Master Food List'!P$91,FALSE)))</f>
        <v>2</v>
      </c>
      <c r="H139" s="293">
        <f ca="1">IF(G139="","",(VLOOKUP($D139,master_food_list,'Master Food List'!Q$91,FALSE)))</f>
        <v>6</v>
      </c>
      <c r="I139" s="293">
        <f ca="1">IF(H139="","",(VLOOKUP($D139,master_food_list,'Master Food List'!R$91,FALSE)))</f>
        <v>135</v>
      </c>
      <c r="J139" s="293">
        <f ca="1">IF(I139="","",(VLOOKUP($D139,master_food_list,'Master Food List'!S$91,FALSE)))</f>
        <v>0</v>
      </c>
      <c r="K139" s="293">
        <f ca="1">IF(J139="","",(VLOOKUP($D139,master_food_list,'Master Food List'!T$91,FALSE)))</f>
        <v>150.44247787610621</v>
      </c>
    </row>
    <row r="140" spans="1:11" customFormat="1" ht="51" x14ac:dyDescent="0.2">
      <c r="A140" s="286">
        <v>19</v>
      </c>
      <c r="B140" s="287" t="s">
        <v>210</v>
      </c>
      <c r="C140" s="287" t="s">
        <v>462</v>
      </c>
      <c r="D140" s="288" t="s">
        <v>485</v>
      </c>
      <c r="E140" s="293">
        <f ca="1">IF(D140="","",(VLOOKUP($D140,master_food_list,'Master Food List'!N$91,FALSE)))</f>
        <v>500</v>
      </c>
      <c r="F140" s="293">
        <f ca="1">IF(E140="","",(VLOOKUP($D140,master_food_list,'Master Food List'!O$91,FALSE)))</f>
        <v>74</v>
      </c>
      <c r="G140" s="293">
        <f ca="1">IF(F140="","",(VLOOKUP($D140,master_food_list,'Master Food List'!P$91,FALSE)))</f>
        <v>16</v>
      </c>
      <c r="H140" s="293">
        <f ca="1">IF(G140="","",(VLOOKUP($D140,master_food_list,'Master Food List'!Q$91,FALSE)))</f>
        <v>18</v>
      </c>
      <c r="I140" s="293">
        <f ca="1">IF(H140="","",(VLOOKUP($D140,master_food_list,'Master Food List'!R$91,FALSE)))</f>
        <v>130</v>
      </c>
      <c r="J140" s="293">
        <f ca="1">IF(I140="","",(VLOOKUP($D140,master_food_list,'Master Food List'!S$91,FALSE)))</f>
        <v>0</v>
      </c>
      <c r="K140" s="293">
        <f ca="1">IF(J140="","",(VLOOKUP($D140,master_food_list,'Master Food List'!T$91,FALSE)))</f>
        <v>126.55024044545685</v>
      </c>
    </row>
    <row r="141" spans="1:11" customFormat="1" ht="51" x14ac:dyDescent="0.2">
      <c r="A141" s="286">
        <v>19</v>
      </c>
      <c r="B141" s="287" t="s">
        <v>210</v>
      </c>
      <c r="C141" s="287" t="s">
        <v>461</v>
      </c>
      <c r="D141" s="288" t="s">
        <v>333</v>
      </c>
      <c r="E141" s="293">
        <f ca="1">IF(D141="","",(VLOOKUP($D141,master_food_list,'Master Food List'!N$91,FALSE)))</f>
        <v>325</v>
      </c>
      <c r="F141" s="293">
        <f ca="1">IF(E141="","",(VLOOKUP($D141,master_food_list,'Master Food List'!O$91,FALSE)))</f>
        <v>40</v>
      </c>
      <c r="G141" s="293">
        <f ca="1">IF(F141="","",(VLOOKUP($D141,master_food_list,'Master Food List'!P$91,FALSE)))</f>
        <v>2.5</v>
      </c>
      <c r="H141" s="293">
        <f ca="1">IF(G141="","",(VLOOKUP($D141,master_food_list,'Master Food List'!Q$91,FALSE)))</f>
        <v>17.5</v>
      </c>
      <c r="I141" s="293">
        <f ca="1">IF(H141="","",(VLOOKUP($D141,master_food_list,'Master Food List'!R$91,FALSE)))</f>
        <v>25</v>
      </c>
      <c r="J141" s="293">
        <f ca="1">IF(I141="","",(VLOOKUP($D141,master_food_list,'Master Food List'!S$91,FALSE)))</f>
        <v>0</v>
      </c>
      <c r="K141" s="293">
        <f ca="1">IF(J141="","",(VLOOKUP($D141,master_food_list,'Master Food List'!T$91,FALSE)))</f>
        <v>156.25</v>
      </c>
    </row>
    <row r="142" spans="1:11" customFormat="1" ht="51" x14ac:dyDescent="0.2">
      <c r="A142" s="286">
        <v>19</v>
      </c>
      <c r="B142" s="287" t="s">
        <v>210</v>
      </c>
      <c r="C142" s="287" t="s">
        <v>460</v>
      </c>
      <c r="D142" s="289"/>
      <c r="E142" s="293" t="str">
        <f>IF(D142="","",(VLOOKUP($D142,master_food_list,'Master Food List'!N$91,FALSE)))</f>
        <v/>
      </c>
      <c r="F142" s="293" t="str">
        <f>IF(E142="","",(VLOOKUP($D142,master_food_list,'Master Food List'!O$91,FALSE)))</f>
        <v/>
      </c>
      <c r="G142" s="293" t="str">
        <f>IF(F142="","",(VLOOKUP($D142,master_food_list,'Master Food List'!P$91,FALSE)))</f>
        <v/>
      </c>
      <c r="H142" s="293" t="str">
        <f>IF(G142="","",(VLOOKUP($D142,master_food_list,'Master Food List'!Q$91,FALSE)))</f>
        <v/>
      </c>
      <c r="I142" s="293" t="str">
        <f>IF(H142="","",(VLOOKUP($D142,master_food_list,'Master Food List'!R$91,FALSE)))</f>
        <v/>
      </c>
      <c r="J142" s="293" t="str">
        <f>IF(I142="","",(VLOOKUP($D142,master_food_list,'Master Food List'!S$91,FALSE)))</f>
        <v/>
      </c>
      <c r="K142" s="293" t="str">
        <f>IF(J142="","",(VLOOKUP($D142,master_food_list,'Master Food List'!T$91,FALSE)))</f>
        <v/>
      </c>
    </row>
    <row r="143" spans="1:11" customFormat="1" ht="51" x14ac:dyDescent="0.2">
      <c r="A143" s="286">
        <v>19</v>
      </c>
      <c r="B143" s="287" t="s">
        <v>210</v>
      </c>
      <c r="C143" s="287" t="s">
        <v>459</v>
      </c>
      <c r="D143" s="288" t="s">
        <v>325</v>
      </c>
      <c r="E143" s="293">
        <f ca="1">IF(D143="","",(VLOOKUP($D143,master_food_list,'Master Food List'!N$91,FALSE)))</f>
        <v>130</v>
      </c>
      <c r="F143" s="293">
        <f ca="1">IF(E143="","",(VLOOKUP($D143,master_food_list,'Master Food List'!O$91,FALSE)))</f>
        <v>12</v>
      </c>
      <c r="G143" s="293">
        <f ca="1">IF(F143="","",(VLOOKUP($D143,master_food_list,'Master Food List'!P$91,FALSE)))</f>
        <v>8</v>
      </c>
      <c r="H143" s="293">
        <f ca="1">IF(G143="","",(VLOOKUP($D143,master_food_list,'Master Food List'!Q$91,FALSE)))</f>
        <v>6</v>
      </c>
      <c r="I143" s="293">
        <f ca="1">IF(H143="","",(VLOOKUP($D143,master_food_list,'Master Food List'!R$91,FALSE)))</f>
        <v>290</v>
      </c>
      <c r="J143" s="293">
        <f ca="1">IF(I143="","",(VLOOKUP($D143,master_food_list,'Master Food List'!S$91,FALSE)))</f>
        <v>0</v>
      </c>
      <c r="K143" s="293">
        <f ca="1">IF(J143="","",(VLOOKUP($D143,master_food_list,'Master Food List'!T$91,FALSE)))</f>
        <v>99.999999999999986</v>
      </c>
    </row>
    <row r="144" spans="1:11" customFormat="1" ht="51" x14ac:dyDescent="0.2">
      <c r="A144" s="286">
        <v>19</v>
      </c>
      <c r="B144" s="287" t="s">
        <v>210</v>
      </c>
      <c r="C144" s="287" t="s">
        <v>458</v>
      </c>
      <c r="D144" s="289" t="s">
        <v>445</v>
      </c>
      <c r="E144" s="293">
        <f ca="1">IF(D144="","",(VLOOKUP($D144,master_food_list,'Master Food List'!N$91,FALSE)))</f>
        <v>580</v>
      </c>
      <c r="F144" s="293">
        <f ca="1">IF(E144="","",(VLOOKUP($D144,master_food_list,'Master Food List'!O$91,FALSE)))</f>
        <v>84</v>
      </c>
      <c r="G144" s="293">
        <f ca="1">IF(F144="","",(VLOOKUP($D144,master_food_list,'Master Food List'!P$91,FALSE)))</f>
        <v>50</v>
      </c>
      <c r="H144" s="293">
        <f ca="1">IF(G144="","",(VLOOKUP($D144,master_food_list,'Master Food List'!Q$91,FALSE)))</f>
        <v>10</v>
      </c>
      <c r="I144" s="293">
        <f ca="1">IF(H144="","",(VLOOKUP($D144,master_food_list,'Master Food List'!R$91,FALSE)))</f>
        <v>1500</v>
      </c>
      <c r="J144" s="293">
        <f ca="1">IF(I144="","",(VLOOKUP($D144,master_food_list,'Master Food List'!S$91,FALSE)))</f>
        <v>0</v>
      </c>
      <c r="K144" s="293">
        <f ca="1">IF(J144="","",(VLOOKUP($D144,master_food_list,'Master Food List'!T$91,FALSE)))</f>
        <v>96.666666666666671</v>
      </c>
    </row>
    <row r="145" spans="1:11" customFormat="1" ht="51" x14ac:dyDescent="0.2">
      <c r="A145" s="286">
        <v>19</v>
      </c>
      <c r="B145" s="287" t="s">
        <v>210</v>
      </c>
      <c r="C145" s="287" t="s">
        <v>457</v>
      </c>
      <c r="D145" s="289" t="s">
        <v>479</v>
      </c>
      <c r="E145" s="293">
        <f ca="1">IF(D145="","",(VLOOKUP($D145,master_food_list,'Master Food List'!N$91,FALSE)))</f>
        <v>300</v>
      </c>
      <c r="F145" s="293">
        <f ca="1">IF(E145="","",(VLOOKUP($D145,master_food_list,'Master Food List'!O$91,FALSE)))</f>
        <v>10.5</v>
      </c>
      <c r="G145" s="293">
        <f ca="1">IF(F145="","",(VLOOKUP($D145,master_food_list,'Master Food List'!P$91,FALSE)))</f>
        <v>10.5</v>
      </c>
      <c r="H145" s="293">
        <f ca="1">IF(G145="","",(VLOOKUP($D145,master_food_list,'Master Food List'!Q$91,FALSE)))</f>
        <v>25.5</v>
      </c>
      <c r="I145" s="293">
        <f ca="1">IF(H145="","",(VLOOKUP($D145,master_food_list,'Master Food List'!R$91,FALSE)))</f>
        <v>150</v>
      </c>
      <c r="J145" s="293">
        <f ca="1">IF(I145="","",(VLOOKUP($D145,master_food_list,'Master Food List'!S$91,FALSE)))</f>
        <v>0</v>
      </c>
      <c r="K145" s="293">
        <f ca="1">IF(J145="","",(VLOOKUP($D145,master_food_list,'Master Food List'!T$91,FALSE)))</f>
        <v>177.77777777777777</v>
      </c>
    </row>
    <row r="146" spans="1:11" customFormat="1" ht="51" x14ac:dyDescent="0.2">
      <c r="A146" s="286">
        <v>19</v>
      </c>
      <c r="B146" s="287" t="s">
        <v>210</v>
      </c>
      <c r="C146" s="287" t="s">
        <v>455</v>
      </c>
      <c r="D146" s="289" t="s">
        <v>505</v>
      </c>
      <c r="E146" s="293">
        <f ca="1">IF(D146="","",(VLOOKUP($D146,master_food_list,'Master Food List'!N$91,FALSE)))</f>
        <v>500</v>
      </c>
      <c r="F146" s="293">
        <f ca="1">IF(E146="","",(VLOOKUP($D146,master_food_list,'Master Food List'!O$91,FALSE)))</f>
        <v>108</v>
      </c>
      <c r="G146" s="293">
        <f ca="1">IF(F146="","",(VLOOKUP($D146,master_food_list,'Master Food List'!P$91,FALSE)))</f>
        <v>10</v>
      </c>
      <c r="H146" s="293">
        <f ca="1">IF(G146="","",(VLOOKUP($D146,master_food_list,'Master Food List'!Q$91,FALSE)))</f>
        <v>5</v>
      </c>
      <c r="I146" s="293">
        <f ca="1">IF(H146="","",(VLOOKUP($D146,master_food_list,'Master Food List'!R$91,FALSE)))</f>
        <v>680</v>
      </c>
      <c r="J146" s="293">
        <f ca="1">IF(I146="","",(VLOOKUP($D146,master_food_list,'Master Food List'!S$91,FALSE)))</f>
        <v>0</v>
      </c>
      <c r="K146" s="293">
        <f ca="1">IF(J146="","",(VLOOKUP($D146,master_food_list,'Master Food List'!T$91,FALSE)))</f>
        <v>111.11111111111111</v>
      </c>
    </row>
    <row r="147" spans="1:11" customFormat="1" ht="51" x14ac:dyDescent="0.2">
      <c r="A147" s="286">
        <v>20</v>
      </c>
      <c r="B147" s="287" t="s">
        <v>210</v>
      </c>
      <c r="C147" s="287" t="s">
        <v>462</v>
      </c>
      <c r="D147" s="288" t="s">
        <v>480</v>
      </c>
      <c r="E147" s="293">
        <f ca="1">IF(D147="","",(VLOOKUP($D147,master_food_list,'Master Food List'!N$91,FALSE)))</f>
        <v>620</v>
      </c>
      <c r="F147" s="293">
        <f ca="1">IF(E147="","",(VLOOKUP($D147,master_food_list,'Master Food List'!O$91,FALSE)))</f>
        <v>74</v>
      </c>
      <c r="G147" s="293">
        <f ca="1">IF(F147="","",(VLOOKUP($D147,master_food_list,'Master Food List'!P$91,FALSE)))</f>
        <v>16</v>
      </c>
      <c r="H147" s="293">
        <f ca="1">IF(G147="","",(VLOOKUP($D147,master_food_list,'Master Food List'!Q$91,FALSE)))</f>
        <v>31</v>
      </c>
      <c r="I147" s="293">
        <f ca="1">IF(H147="","",(VLOOKUP($D147,master_food_list,'Master Food List'!R$91,FALSE)))</f>
        <v>280</v>
      </c>
      <c r="J147" s="293">
        <f ca="1">IF(I147="","",(VLOOKUP($D147,master_food_list,'Master Food List'!S$91,FALSE)))</f>
        <v>0</v>
      </c>
      <c r="K147" s="293">
        <f ca="1">IF(J147="","",(VLOOKUP($D147,master_food_list,'Master Food List'!T$91,FALSE)))</f>
        <v>130.52631578947367</v>
      </c>
    </row>
    <row r="148" spans="1:11" customFormat="1" ht="51" x14ac:dyDescent="0.2">
      <c r="A148" s="286">
        <v>20</v>
      </c>
      <c r="B148" s="287" t="s">
        <v>210</v>
      </c>
      <c r="C148" s="287" t="s">
        <v>461</v>
      </c>
      <c r="D148" s="288" t="s">
        <v>414</v>
      </c>
      <c r="E148" s="293">
        <f ca="1">IF(D148="","",(VLOOKUP($D148,master_food_list,'Master Food List'!N$91,FALSE)))</f>
        <v>250</v>
      </c>
      <c r="F148" s="293">
        <f ca="1">IF(E148="","",(VLOOKUP($D148,master_food_list,'Master Food List'!O$91,FALSE)))</f>
        <v>33</v>
      </c>
      <c r="G148" s="293">
        <f ca="1">IF(F148="","",(VLOOKUP($D148,master_food_list,'Master Food List'!P$91,FALSE)))</f>
        <v>4</v>
      </c>
      <c r="H148" s="293">
        <f ca="1">IF(G148="","",(VLOOKUP($D148,master_food_list,'Master Food List'!Q$91,FALSE)))</f>
        <v>12</v>
      </c>
      <c r="I148" s="293">
        <f ca="1">IF(H148="","",(VLOOKUP($D148,master_food_list,'Master Food List'!R$91,FALSE)))</f>
        <v>120</v>
      </c>
      <c r="J148" s="293">
        <f ca="1">IF(I148="","",(VLOOKUP($D148,master_food_list,'Master Food List'!S$91,FALSE)))</f>
        <v>0</v>
      </c>
      <c r="K148" s="293">
        <f ca="1">IF(J148="","",(VLOOKUP($D148,master_food_list,'Master Food List'!T$91,FALSE)))</f>
        <v>134.40860215053763</v>
      </c>
    </row>
    <row r="149" spans="1:11" customFormat="1" ht="51" x14ac:dyDescent="0.2">
      <c r="A149" s="286">
        <v>20</v>
      </c>
      <c r="B149" s="287" t="s">
        <v>210</v>
      </c>
      <c r="C149" s="287" t="s">
        <v>460</v>
      </c>
      <c r="D149" s="289"/>
      <c r="E149" s="293" t="str">
        <f>IF(D149="","",(VLOOKUP($D149,master_food_list,'Master Food List'!N$91,FALSE)))</f>
        <v/>
      </c>
      <c r="F149" s="293" t="str">
        <f>IF(E149="","",(VLOOKUP($D149,master_food_list,'Master Food List'!O$91,FALSE)))</f>
        <v/>
      </c>
      <c r="G149" s="293" t="str">
        <f>IF(F149="","",(VLOOKUP($D149,master_food_list,'Master Food List'!P$91,FALSE)))</f>
        <v/>
      </c>
      <c r="H149" s="293" t="str">
        <f>IF(G149="","",(VLOOKUP($D149,master_food_list,'Master Food List'!Q$91,FALSE)))</f>
        <v/>
      </c>
      <c r="I149" s="293" t="str">
        <f>IF(H149="","",(VLOOKUP($D149,master_food_list,'Master Food List'!R$91,FALSE)))</f>
        <v/>
      </c>
      <c r="J149" s="293" t="str">
        <f>IF(I149="","",(VLOOKUP($D149,master_food_list,'Master Food List'!S$91,FALSE)))</f>
        <v/>
      </c>
      <c r="K149" s="293" t="str">
        <f>IF(J149="","",(VLOOKUP($D149,master_food_list,'Master Food List'!T$91,FALSE)))</f>
        <v/>
      </c>
    </row>
    <row r="150" spans="1:11" customFormat="1" ht="51" x14ac:dyDescent="0.2">
      <c r="A150" s="286">
        <v>20</v>
      </c>
      <c r="B150" s="287" t="s">
        <v>210</v>
      </c>
      <c r="C150" s="287" t="s">
        <v>459</v>
      </c>
      <c r="D150" s="288" t="s">
        <v>347</v>
      </c>
      <c r="E150" s="293">
        <f ca="1">IF(D150="","",(VLOOKUP($D150,master_food_list,'Master Food List'!N$91,FALSE)))</f>
        <v>665</v>
      </c>
      <c r="F150" s="293">
        <f ca="1">IF(E150="","",(VLOOKUP($D150,master_food_list,'Master Food List'!O$91,FALSE)))</f>
        <v>0</v>
      </c>
      <c r="G150" s="293">
        <f ca="1">IF(F150="","",(VLOOKUP($D150,master_food_list,'Master Food List'!P$91,FALSE)))</f>
        <v>35</v>
      </c>
      <c r="H150" s="293">
        <f ca="1">IF(G150="","",(VLOOKUP($D150,master_food_list,'Master Food List'!Q$91,FALSE)))</f>
        <v>56</v>
      </c>
      <c r="I150" s="293">
        <f ca="1">IF(H150="","",(VLOOKUP($D150,master_food_list,'Master Food List'!R$91,FALSE)))</f>
        <v>2415</v>
      </c>
      <c r="J150" s="293">
        <f ca="1">IF(I150="","",(VLOOKUP($D150,master_food_list,'Master Food List'!S$91,FALSE)))</f>
        <v>0</v>
      </c>
      <c r="K150" s="293">
        <f ca="1">IF(J150="","",(VLOOKUP($D150,master_food_list,'Master Food List'!T$91,FALSE)))</f>
        <v>180.70652173913044</v>
      </c>
    </row>
    <row r="151" spans="1:11" customFormat="1" ht="51" x14ac:dyDescent="0.2">
      <c r="A151" s="286">
        <v>20</v>
      </c>
      <c r="B151" s="287" t="s">
        <v>210</v>
      </c>
      <c r="C151" s="287" t="s">
        <v>458</v>
      </c>
      <c r="D151" s="289" t="s">
        <v>336</v>
      </c>
      <c r="E151" s="293">
        <f ca="1">IF(D151="","",(VLOOKUP($D151,master_food_list,'Master Food List'!N$91,FALSE)))</f>
        <v>575</v>
      </c>
      <c r="F151" s="293">
        <f ca="1">IF(E151="","",(VLOOKUP($D151,master_food_list,'Master Food List'!O$91,FALSE)))</f>
        <v>77.5</v>
      </c>
      <c r="G151" s="293">
        <f ca="1">IF(F151="","",(VLOOKUP($D151,master_food_list,'Master Food List'!P$91,FALSE)))</f>
        <v>30</v>
      </c>
      <c r="H151" s="293">
        <f ca="1">IF(G151="","",(VLOOKUP($D151,master_food_list,'Master Food List'!Q$91,FALSE)))</f>
        <v>15</v>
      </c>
      <c r="I151" s="293">
        <f ca="1">IF(H151="","",(VLOOKUP($D151,master_food_list,'Master Food List'!R$91,FALSE)))</f>
        <v>1950</v>
      </c>
      <c r="J151" s="293">
        <f ca="1">IF(I151="","",(VLOOKUP($D151,master_food_list,'Master Food List'!S$91,FALSE)))</f>
        <v>0</v>
      </c>
      <c r="K151" s="293">
        <f ca="1">IF(J151="","",(VLOOKUP($D151,master_food_list,'Master Food List'!T$91,FALSE)))</f>
        <v>117.2870984191739</v>
      </c>
    </row>
    <row r="152" spans="1:11" customFormat="1" ht="51" x14ac:dyDescent="0.2">
      <c r="A152" s="286">
        <v>20</v>
      </c>
      <c r="B152" s="287" t="s">
        <v>210</v>
      </c>
      <c r="C152" s="287" t="s">
        <v>457</v>
      </c>
      <c r="D152" s="289" t="s">
        <v>479</v>
      </c>
      <c r="E152" s="293">
        <f ca="1">IF(D152="","",(VLOOKUP($D152,master_food_list,'Master Food List'!N$91,FALSE)))</f>
        <v>300</v>
      </c>
      <c r="F152" s="293">
        <f ca="1">IF(E152="","",(VLOOKUP($D152,master_food_list,'Master Food List'!O$91,FALSE)))</f>
        <v>10.5</v>
      </c>
      <c r="G152" s="293">
        <f ca="1">IF(F152="","",(VLOOKUP($D152,master_food_list,'Master Food List'!P$91,FALSE)))</f>
        <v>10.5</v>
      </c>
      <c r="H152" s="293">
        <f ca="1">IF(G152="","",(VLOOKUP($D152,master_food_list,'Master Food List'!Q$91,FALSE)))</f>
        <v>25.5</v>
      </c>
      <c r="I152" s="293">
        <f ca="1">IF(H152="","",(VLOOKUP($D152,master_food_list,'Master Food List'!R$91,FALSE)))</f>
        <v>150</v>
      </c>
      <c r="J152" s="293">
        <f ca="1">IF(I152="","",(VLOOKUP($D152,master_food_list,'Master Food List'!S$91,FALSE)))</f>
        <v>0</v>
      </c>
      <c r="K152" s="293">
        <f ca="1">IF(J152="","",(VLOOKUP($D152,master_food_list,'Master Food List'!T$91,FALSE)))</f>
        <v>177.77777777777777</v>
      </c>
    </row>
    <row r="153" spans="1:11" customFormat="1" ht="51" x14ac:dyDescent="0.2">
      <c r="A153" s="286">
        <v>20</v>
      </c>
      <c r="B153" s="287" t="s">
        <v>210</v>
      </c>
      <c r="C153" s="287" t="s">
        <v>455</v>
      </c>
      <c r="D153" s="289" t="s">
        <v>478</v>
      </c>
      <c r="E153" s="293">
        <f ca="1">IF(D153="","",(VLOOKUP($D153,master_food_list,'Master Food List'!N$91,FALSE)))</f>
        <v>540</v>
      </c>
      <c r="F153" s="293">
        <f ca="1">IF(E153="","",(VLOOKUP($D153,master_food_list,'Master Food List'!O$91,FALSE)))</f>
        <v>105</v>
      </c>
      <c r="G153" s="293">
        <f ca="1">IF(F153="","",(VLOOKUP($D153,master_food_list,'Master Food List'!P$91,FALSE)))</f>
        <v>6</v>
      </c>
      <c r="H153" s="293">
        <f ca="1">IF(G153="","",(VLOOKUP($D153,master_food_list,'Master Food List'!Q$91,FALSE)))</f>
        <v>12</v>
      </c>
      <c r="I153" s="293">
        <f ca="1">IF(H153="","",(VLOOKUP($D153,master_food_list,'Master Food List'!R$91,FALSE)))</f>
        <v>240</v>
      </c>
      <c r="J153" s="293">
        <f ca="1">IF(I153="","",(VLOOKUP($D153,master_food_list,'Master Food List'!S$91,FALSE)))</f>
        <v>0</v>
      </c>
      <c r="K153" s="293">
        <f ca="1">IF(J153="","",(VLOOKUP($D153,master_food_list,'Master Food List'!T$91,FALSE)))</f>
        <v>117.64705882352942</v>
      </c>
    </row>
    <row r="154" spans="1:11" ht="34" x14ac:dyDescent="0.2">
      <c r="A154" s="296"/>
      <c r="B154" s="300" t="s">
        <v>708</v>
      </c>
      <c r="C154" s="297">
        <f>A155-A112</f>
        <v>6</v>
      </c>
      <c r="D154" s="301"/>
      <c r="E154" s="299"/>
      <c r="F154" s="299"/>
      <c r="G154" s="299"/>
      <c r="H154" s="299"/>
      <c r="I154" s="299"/>
      <c r="J154" s="299"/>
      <c r="K154" s="299"/>
    </row>
    <row r="155" spans="1:11" s="190" customFormat="1" ht="51" x14ac:dyDescent="0.2">
      <c r="A155" s="278">
        <v>21</v>
      </c>
      <c r="B155" s="279" t="s">
        <v>456</v>
      </c>
      <c r="C155" s="279" t="s">
        <v>462</v>
      </c>
      <c r="D155" s="280" t="s">
        <v>498</v>
      </c>
      <c r="E155" s="291">
        <f ca="1">IF(D155="","",(VLOOKUP($D155,master_food_list,'Master Food List'!N$91,FALSE)))</f>
        <v>1020</v>
      </c>
      <c r="F155" s="291">
        <f ca="1">IF(E155="","",(VLOOKUP($D155,master_food_list,'Master Food List'!O$91,FALSE)))</f>
        <v>96</v>
      </c>
      <c r="G155" s="291">
        <f ca="1">IF(F155="","",(VLOOKUP($D155,master_food_list,'Master Food List'!P$91,FALSE)))</f>
        <v>34</v>
      </c>
      <c r="H155" s="291">
        <f ca="1">IF(G155="","",(VLOOKUP($D155,master_food_list,'Master Food List'!Q$91,FALSE)))</f>
        <v>53</v>
      </c>
      <c r="I155" s="291">
        <f ca="1">IF(H155="","",(VLOOKUP($D155,master_food_list,'Master Food List'!R$91,FALSE)))</f>
        <v>2460</v>
      </c>
      <c r="J155" s="291">
        <f ca="1">IF(I155="","",(VLOOKUP($D155,master_food_list,'Master Food List'!S$91,FALSE)))</f>
        <v>0</v>
      </c>
      <c r="K155" s="291">
        <f ca="1">IF(J155="","",(VLOOKUP($D155,master_food_list,'Master Food List'!T$91,FALSE)))</f>
        <v>0</v>
      </c>
    </row>
    <row r="156" spans="1:11" s="190" customFormat="1" ht="51" x14ac:dyDescent="0.2">
      <c r="A156" s="278">
        <v>21</v>
      </c>
      <c r="B156" s="279" t="s">
        <v>456</v>
      </c>
      <c r="C156" s="279" t="s">
        <v>461</v>
      </c>
      <c r="D156" s="280" t="s">
        <v>522</v>
      </c>
      <c r="E156" s="291">
        <f ca="1">IF(D156="","",(VLOOKUP($D156,master_food_list,'Master Food List'!N$91,FALSE)))</f>
        <v>300</v>
      </c>
      <c r="F156" s="291">
        <f ca="1">IF(E156="","",(VLOOKUP($D156,master_food_list,'Master Food List'!O$91,FALSE)))</f>
        <v>26</v>
      </c>
      <c r="G156" s="291">
        <f ca="1">IF(F156="","",(VLOOKUP($D156,master_food_list,'Master Food List'!P$91,FALSE)))</f>
        <v>4</v>
      </c>
      <c r="H156" s="291">
        <f ca="1">IF(G156="","",(VLOOKUP($D156,master_food_list,'Master Food List'!Q$91,FALSE)))</f>
        <v>20</v>
      </c>
      <c r="I156" s="291">
        <f ca="1">IF(H156="","",(VLOOKUP($D156,master_food_list,'Master Food List'!R$91,FALSE)))</f>
        <v>500</v>
      </c>
      <c r="J156" s="291">
        <f ca="1">IF(I156="","",(VLOOKUP($D156,master_food_list,'Master Food List'!S$91,FALSE)))</f>
        <v>0</v>
      </c>
      <c r="K156" s="291">
        <f ca="1">IF(J156="","",(VLOOKUP($D156,master_food_list,'Master Food List'!T$91,FALSE)))</f>
        <v>154.28571428571428</v>
      </c>
    </row>
    <row r="157" spans="1:11" s="190" customFormat="1" ht="51" x14ac:dyDescent="0.2">
      <c r="A157" s="278">
        <v>21</v>
      </c>
      <c r="B157" s="279" t="s">
        <v>456</v>
      </c>
      <c r="C157" s="279" t="s">
        <v>460</v>
      </c>
      <c r="D157" s="281" t="s">
        <v>495</v>
      </c>
      <c r="E157" s="291">
        <f ca="1">IF(D157="","",(VLOOKUP($D157,master_food_list,'Master Food List'!N$91,FALSE)))</f>
        <v>122</v>
      </c>
      <c r="F157" s="291">
        <f ca="1">IF(E157="","",(VLOOKUP($D157,master_food_list,'Master Food List'!O$91,FALSE)))</f>
        <v>18</v>
      </c>
      <c r="G157" s="291">
        <f ca="1">IF(F157="","",(VLOOKUP($D157,master_food_list,'Master Food List'!P$91,FALSE)))</f>
        <v>9</v>
      </c>
      <c r="H157" s="291">
        <f ca="1">IF(G157="","",(VLOOKUP($D157,master_food_list,'Master Food List'!Q$91,FALSE)))</f>
        <v>7.5</v>
      </c>
      <c r="I157" s="291">
        <f ca="1">IF(H157="","",(VLOOKUP($D157,master_food_list,'Master Food List'!R$91,FALSE)))</f>
        <v>105</v>
      </c>
      <c r="J157" s="291">
        <f ca="1">IF(I157="","",(VLOOKUP($D157,master_food_list,'Master Food List'!S$91,FALSE)))</f>
        <v>0</v>
      </c>
      <c r="K157" s="291">
        <f ca="1">IF(J157="","",(VLOOKUP($D157,master_food_list,'Master Food List'!T$91,FALSE)))</f>
        <v>0</v>
      </c>
    </row>
    <row r="158" spans="1:11" s="190" customFormat="1" ht="51" x14ac:dyDescent="0.2">
      <c r="A158" s="278">
        <v>21</v>
      </c>
      <c r="B158" s="279" t="s">
        <v>456</v>
      </c>
      <c r="C158" s="279" t="s">
        <v>459</v>
      </c>
      <c r="D158" s="280" t="s">
        <v>333</v>
      </c>
      <c r="E158" s="291">
        <f ca="1">IF(D158="","",(VLOOKUP($D158,master_food_list,'Master Food List'!N$91,FALSE)))</f>
        <v>325</v>
      </c>
      <c r="F158" s="291">
        <f ca="1">IF(E158="","",(VLOOKUP($D158,master_food_list,'Master Food List'!O$91,FALSE)))</f>
        <v>40</v>
      </c>
      <c r="G158" s="291">
        <f ca="1">IF(F158="","",(VLOOKUP($D158,master_food_list,'Master Food List'!P$91,FALSE)))</f>
        <v>2.5</v>
      </c>
      <c r="H158" s="291">
        <f ca="1">IF(G158="","",(VLOOKUP($D158,master_food_list,'Master Food List'!Q$91,FALSE)))</f>
        <v>17.5</v>
      </c>
      <c r="I158" s="291">
        <f ca="1">IF(H158="","",(VLOOKUP($D158,master_food_list,'Master Food List'!R$91,FALSE)))</f>
        <v>25</v>
      </c>
      <c r="J158" s="291">
        <f ca="1">IF(I158="","",(VLOOKUP($D158,master_food_list,'Master Food List'!S$91,FALSE)))</f>
        <v>0</v>
      </c>
      <c r="K158" s="291">
        <f ca="1">IF(J158="","",(VLOOKUP($D158,master_food_list,'Master Food List'!T$91,FALSE)))</f>
        <v>156.25</v>
      </c>
    </row>
    <row r="159" spans="1:11" s="190" customFormat="1" ht="51" x14ac:dyDescent="0.2">
      <c r="A159" s="278">
        <v>21</v>
      </c>
      <c r="B159" s="279" t="s">
        <v>456</v>
      </c>
      <c r="C159" s="279" t="s">
        <v>458</v>
      </c>
      <c r="D159" s="281" t="s">
        <v>409</v>
      </c>
      <c r="E159" s="291">
        <f ca="1">IF(D159="","",(VLOOKUP($D159,master_food_list,'Master Food List'!N$91,FALSE)))</f>
        <v>480</v>
      </c>
      <c r="F159" s="291">
        <f ca="1">IF(E159="","",(VLOOKUP($D159,master_food_list,'Master Food List'!O$91,FALSE)))</f>
        <v>84</v>
      </c>
      <c r="G159" s="291">
        <f ca="1">IF(F159="","",(VLOOKUP($D159,master_food_list,'Master Food List'!P$91,FALSE)))</f>
        <v>30</v>
      </c>
      <c r="H159" s="291">
        <f ca="1">IF(G159="","",(VLOOKUP($D159,master_food_list,'Master Food List'!Q$91,FALSE)))</f>
        <v>3</v>
      </c>
      <c r="I159" s="291">
        <f ca="1">IF(H159="","",(VLOOKUP($D159,master_food_list,'Master Food List'!R$91,FALSE)))</f>
        <v>1530</v>
      </c>
      <c r="J159" s="291">
        <f ca="1">IF(I159="","",(VLOOKUP($D159,master_food_list,'Master Food List'!S$91,FALSE)))</f>
        <v>0</v>
      </c>
      <c r="K159" s="291">
        <f ca="1">IF(J159="","",(VLOOKUP($D159,master_food_list,'Master Food List'!T$91,FALSE)))</f>
        <v>101.93905817174515</v>
      </c>
    </row>
    <row r="160" spans="1:11" s="190" customFormat="1" ht="51" x14ac:dyDescent="0.2">
      <c r="A160" s="278">
        <v>21</v>
      </c>
      <c r="B160" s="279" t="s">
        <v>456</v>
      </c>
      <c r="C160" s="279" t="s">
        <v>457</v>
      </c>
      <c r="D160" s="281"/>
      <c r="E160" s="291" t="str">
        <f>IF(D160="","",(VLOOKUP($D160,master_food_list,'Master Food List'!N$91,FALSE)))</f>
        <v/>
      </c>
      <c r="F160" s="291" t="str">
        <f>IF(E160="","",(VLOOKUP($D160,master_food_list,'Master Food List'!O$91,FALSE)))</f>
        <v/>
      </c>
      <c r="G160" s="291" t="str">
        <f>IF(F160="","",(VLOOKUP($D160,master_food_list,'Master Food List'!P$91,FALSE)))</f>
        <v/>
      </c>
      <c r="H160" s="291" t="str">
        <f>IF(G160="","",(VLOOKUP($D160,master_food_list,'Master Food List'!Q$91,FALSE)))</f>
        <v/>
      </c>
      <c r="I160" s="291" t="str">
        <f>IF(H160="","",(VLOOKUP($D160,master_food_list,'Master Food List'!R$91,FALSE)))</f>
        <v/>
      </c>
      <c r="J160" s="291" t="str">
        <f>IF(I160="","",(VLOOKUP($D160,master_food_list,'Master Food List'!S$91,FALSE)))</f>
        <v/>
      </c>
      <c r="K160" s="291" t="str">
        <f>IF(J160="","",(VLOOKUP($D160,master_food_list,'Master Food List'!T$91,FALSE)))</f>
        <v/>
      </c>
    </row>
    <row r="161" spans="1:11" s="190" customFormat="1" ht="51" x14ac:dyDescent="0.2">
      <c r="A161" s="278">
        <v>21</v>
      </c>
      <c r="B161" s="279" t="s">
        <v>456</v>
      </c>
      <c r="C161" s="279" t="s">
        <v>455</v>
      </c>
      <c r="D161" s="281" t="s">
        <v>483</v>
      </c>
      <c r="E161" s="291">
        <f ca="1">IF(D161="","",(VLOOKUP($D161,master_food_list,'Master Food List'!N$91,FALSE)))</f>
        <v>200</v>
      </c>
      <c r="F161" s="291">
        <f ca="1">IF(E161="","",(VLOOKUP($D161,master_food_list,'Master Food List'!O$91,FALSE)))</f>
        <v>31</v>
      </c>
      <c r="G161" s="291">
        <f ca="1">IF(F161="","",(VLOOKUP($D161,master_food_list,'Master Food List'!P$91,FALSE)))</f>
        <v>2</v>
      </c>
      <c r="H161" s="291">
        <f ca="1">IF(G161="","",(VLOOKUP($D161,master_food_list,'Master Food List'!Q$91,FALSE)))</f>
        <v>8</v>
      </c>
      <c r="I161" s="291">
        <f ca="1">IF(H161="","",(VLOOKUP($D161,master_food_list,'Master Food List'!R$91,FALSE)))</f>
        <v>30</v>
      </c>
      <c r="J161" s="291">
        <f ca="1">IF(I161="","",(VLOOKUP($D161,master_food_list,'Master Food List'!S$91,FALSE)))</f>
        <v>0</v>
      </c>
      <c r="K161" s="291">
        <f ca="1">IF(J161="","",(VLOOKUP($D161,master_food_list,'Master Food List'!T$91,FALSE)))</f>
        <v>133.33333333333334</v>
      </c>
    </row>
    <row r="162" spans="1:11" s="190" customFormat="1" ht="51" x14ac:dyDescent="0.2">
      <c r="A162" s="278">
        <v>22</v>
      </c>
      <c r="B162" s="279" t="s">
        <v>456</v>
      </c>
      <c r="C162" s="279" t="s">
        <v>462</v>
      </c>
      <c r="D162" s="280" t="s">
        <v>481</v>
      </c>
      <c r="E162" s="291">
        <f ca="1">IF(D162="","",(VLOOKUP($D162,master_food_list,'Master Food List'!N$91,FALSE)))</f>
        <v>400</v>
      </c>
      <c r="F162" s="291">
        <f ca="1">IF(E162="","",(VLOOKUP($D162,master_food_list,'Master Food List'!O$91,FALSE)))</f>
        <v>72</v>
      </c>
      <c r="G162" s="291">
        <f ca="1">IF(F162="","",(VLOOKUP($D162,master_food_list,'Master Food List'!P$91,FALSE)))</f>
        <v>6</v>
      </c>
      <c r="H162" s="291">
        <f ca="1">IF(G162="","",(VLOOKUP($D162,master_food_list,'Master Food List'!Q$91,FALSE)))</f>
        <v>10</v>
      </c>
      <c r="I162" s="291">
        <f ca="1">IF(H162="","",(VLOOKUP($D162,master_food_list,'Master Food List'!R$91,FALSE)))</f>
        <v>420</v>
      </c>
      <c r="J162" s="291">
        <f ca="1">IF(I162="","",(VLOOKUP($D162,master_food_list,'Master Food List'!S$91,FALSE)))</f>
        <v>0</v>
      </c>
      <c r="K162" s="291">
        <f ca="1">IF(J162="","",(VLOOKUP($D162,master_food_list,'Master Food List'!T$91,FALSE)))</f>
        <v>109.09090909090909</v>
      </c>
    </row>
    <row r="163" spans="1:11" s="190" customFormat="1" ht="51" x14ac:dyDescent="0.2">
      <c r="A163" s="278">
        <v>22</v>
      </c>
      <c r="B163" s="279" t="s">
        <v>456</v>
      </c>
      <c r="C163" s="279" t="s">
        <v>461</v>
      </c>
      <c r="D163" s="280" t="s">
        <v>327</v>
      </c>
      <c r="E163" s="291">
        <f ca="1">IF(D163="","",(VLOOKUP($D163,master_food_list,'Master Food List'!N$91,FALSE)))</f>
        <v>130</v>
      </c>
      <c r="F163" s="291">
        <f ca="1">IF(E163="","",(VLOOKUP($D163,master_food_list,'Master Food List'!O$91,FALSE)))</f>
        <v>8</v>
      </c>
      <c r="G163" s="291">
        <f ca="1">IF(F163="","",(VLOOKUP($D163,master_food_list,'Master Food List'!P$91,FALSE)))</f>
        <v>7</v>
      </c>
      <c r="H163" s="291">
        <f ca="1">IF(G163="","",(VLOOKUP($D163,master_food_list,'Master Food List'!Q$91,FALSE)))</f>
        <v>8</v>
      </c>
      <c r="I163" s="291">
        <f ca="1">IF(H163="","",(VLOOKUP($D163,master_food_list,'Master Food List'!R$91,FALSE)))</f>
        <v>320</v>
      </c>
      <c r="J163" s="291">
        <f ca="1">IF(I163="","",(VLOOKUP($D163,master_food_list,'Master Food List'!S$91,FALSE)))</f>
        <v>0</v>
      </c>
      <c r="K163" s="291">
        <f ca="1">IF(J163="","",(VLOOKUP($D163,master_food_list,'Master Food List'!T$91,FALSE)))</f>
        <v>99.999999999999986</v>
      </c>
    </row>
    <row r="164" spans="1:11" s="190" customFormat="1" ht="51" x14ac:dyDescent="0.2">
      <c r="A164" s="278">
        <v>22</v>
      </c>
      <c r="B164" s="279" t="s">
        <v>456</v>
      </c>
      <c r="C164" s="279" t="s">
        <v>460</v>
      </c>
      <c r="D164" s="281" t="s">
        <v>495</v>
      </c>
      <c r="E164" s="291">
        <f ca="1">IF(D164="","",(VLOOKUP($D164,master_food_list,'Master Food List'!N$91,FALSE)))</f>
        <v>122</v>
      </c>
      <c r="F164" s="291">
        <f ca="1">IF(E164="","",(VLOOKUP($D164,master_food_list,'Master Food List'!O$91,FALSE)))</f>
        <v>18</v>
      </c>
      <c r="G164" s="291">
        <f ca="1">IF(F164="","",(VLOOKUP($D164,master_food_list,'Master Food List'!P$91,FALSE)))</f>
        <v>9</v>
      </c>
      <c r="H164" s="291">
        <f ca="1">IF(G164="","",(VLOOKUP($D164,master_food_list,'Master Food List'!Q$91,FALSE)))</f>
        <v>7.5</v>
      </c>
      <c r="I164" s="291">
        <f ca="1">IF(H164="","",(VLOOKUP($D164,master_food_list,'Master Food List'!R$91,FALSE)))</f>
        <v>105</v>
      </c>
      <c r="J164" s="291">
        <f ca="1">IF(I164="","",(VLOOKUP($D164,master_food_list,'Master Food List'!S$91,FALSE)))</f>
        <v>0</v>
      </c>
      <c r="K164" s="291">
        <f ca="1">IF(J164="","",(VLOOKUP($D164,master_food_list,'Master Food List'!T$91,FALSE)))</f>
        <v>0</v>
      </c>
    </row>
    <row r="165" spans="1:11" s="190" customFormat="1" ht="51" x14ac:dyDescent="0.2">
      <c r="A165" s="278">
        <v>22</v>
      </c>
      <c r="B165" s="279" t="s">
        <v>456</v>
      </c>
      <c r="C165" s="279" t="s">
        <v>459</v>
      </c>
      <c r="D165" s="280" t="s">
        <v>522</v>
      </c>
      <c r="E165" s="291">
        <f ca="1">IF(D165="","",(VLOOKUP($D165,master_food_list,'Master Food List'!N$91,FALSE)))</f>
        <v>300</v>
      </c>
      <c r="F165" s="291">
        <f ca="1">IF(E165="","",(VLOOKUP($D165,master_food_list,'Master Food List'!O$91,FALSE)))</f>
        <v>26</v>
      </c>
      <c r="G165" s="291">
        <f ca="1">IF(F165="","",(VLOOKUP($D165,master_food_list,'Master Food List'!P$91,FALSE)))</f>
        <v>4</v>
      </c>
      <c r="H165" s="291">
        <f ca="1">IF(G165="","",(VLOOKUP($D165,master_food_list,'Master Food List'!Q$91,FALSE)))</f>
        <v>20</v>
      </c>
      <c r="I165" s="291">
        <f ca="1">IF(H165="","",(VLOOKUP($D165,master_food_list,'Master Food List'!R$91,FALSE)))</f>
        <v>500</v>
      </c>
      <c r="J165" s="291">
        <f ca="1">IF(I165="","",(VLOOKUP($D165,master_food_list,'Master Food List'!S$91,FALSE)))</f>
        <v>0</v>
      </c>
      <c r="K165" s="291">
        <f ca="1">IF(J165="","",(VLOOKUP($D165,master_food_list,'Master Food List'!T$91,FALSE)))</f>
        <v>154.28571428571428</v>
      </c>
    </row>
    <row r="166" spans="1:11" s="190" customFormat="1" ht="51" x14ac:dyDescent="0.2">
      <c r="A166" s="278">
        <v>22</v>
      </c>
      <c r="B166" s="279" t="s">
        <v>456</v>
      </c>
      <c r="C166" s="279" t="s">
        <v>458</v>
      </c>
      <c r="D166" s="281" t="s">
        <v>452</v>
      </c>
      <c r="E166" s="291">
        <f ca="1">IF(D166="","",(VLOOKUP($D166,master_food_list,'Master Food List'!N$91,FALSE)))</f>
        <v>620</v>
      </c>
      <c r="F166" s="291">
        <f ca="1">IF(E166="","",(VLOOKUP($D166,master_food_list,'Master Food List'!O$91,FALSE)))</f>
        <v>124</v>
      </c>
      <c r="G166" s="291">
        <f ca="1">IF(F166="","",(VLOOKUP($D166,master_food_list,'Master Food List'!P$91,FALSE)))</f>
        <v>22</v>
      </c>
      <c r="H166" s="291">
        <f ca="1">IF(G166="","",(VLOOKUP($D166,master_food_list,'Master Food List'!Q$91,FALSE)))</f>
        <v>7</v>
      </c>
      <c r="I166" s="291">
        <f ca="1">IF(H166="","",(VLOOKUP($D166,master_food_list,'Master Food List'!R$91,FALSE)))</f>
        <v>360</v>
      </c>
      <c r="J166" s="291">
        <f ca="1">IF(I166="","",(VLOOKUP($D166,master_food_list,'Master Food List'!S$91,FALSE)))</f>
        <v>0</v>
      </c>
      <c r="K166" s="291">
        <f ca="1">IF(J166="","",(VLOOKUP($D166,master_food_list,'Master Food List'!T$91,FALSE)))</f>
        <v>103.33333333333333</v>
      </c>
    </row>
    <row r="167" spans="1:11" s="190" customFormat="1" ht="51" x14ac:dyDescent="0.2">
      <c r="A167" s="278">
        <v>22</v>
      </c>
      <c r="B167" s="279" t="s">
        <v>456</v>
      </c>
      <c r="C167" s="279" t="s">
        <v>457</v>
      </c>
      <c r="D167" s="281"/>
      <c r="E167" s="291" t="str">
        <f>IF(D167="","",(VLOOKUP($D167,master_food_list,'Master Food List'!N$91,FALSE)))</f>
        <v/>
      </c>
      <c r="F167" s="291" t="str">
        <f>IF(E167="","",(VLOOKUP($D167,master_food_list,'Master Food List'!O$91,FALSE)))</f>
        <v/>
      </c>
      <c r="G167" s="291" t="str">
        <f>IF(F167="","",(VLOOKUP($D167,master_food_list,'Master Food List'!P$91,FALSE)))</f>
        <v/>
      </c>
      <c r="H167" s="291" t="str">
        <f>IF(G167="","",(VLOOKUP($D167,master_food_list,'Master Food List'!Q$91,FALSE)))</f>
        <v/>
      </c>
      <c r="I167" s="291" t="str">
        <f>IF(H167="","",(VLOOKUP($D167,master_food_list,'Master Food List'!R$91,FALSE)))</f>
        <v/>
      </c>
      <c r="J167" s="291" t="str">
        <f>IF(I167="","",(VLOOKUP($D167,master_food_list,'Master Food List'!S$91,FALSE)))</f>
        <v/>
      </c>
      <c r="K167" s="291" t="str">
        <f>IF(J167="","",(VLOOKUP($D167,master_food_list,'Master Food List'!T$91,FALSE)))</f>
        <v/>
      </c>
    </row>
    <row r="168" spans="1:11" s="190" customFormat="1" ht="51" x14ac:dyDescent="0.2">
      <c r="A168" s="278">
        <v>22</v>
      </c>
      <c r="B168" s="279" t="s">
        <v>456</v>
      </c>
      <c r="C168" s="279" t="s">
        <v>455</v>
      </c>
      <c r="D168" s="281" t="s">
        <v>482</v>
      </c>
      <c r="E168" s="291">
        <f ca="1">IF(D168="","",(VLOOKUP($D168,master_food_list,'Master Food List'!N$91,FALSE)))</f>
        <v>110</v>
      </c>
      <c r="F168" s="291">
        <f ca="1">IF(E168="","",(VLOOKUP($D168,master_food_list,'Master Food List'!O$91,FALSE)))</f>
        <v>21</v>
      </c>
      <c r="G168" s="291">
        <f ca="1">IF(F168="","",(VLOOKUP($D168,master_food_list,'Master Food List'!P$91,FALSE)))</f>
        <v>1</v>
      </c>
      <c r="H168" s="291">
        <f ca="1">IF(G168="","",(VLOOKUP($D168,master_food_list,'Master Food List'!Q$91,FALSE)))</f>
        <v>2</v>
      </c>
      <c r="I168" s="291">
        <f ca="1">IF(H168="","",(VLOOKUP($D168,master_food_list,'Master Food List'!R$91,FALSE)))</f>
        <v>150</v>
      </c>
      <c r="J168" s="291">
        <f ca="1">IF(I168="","",(VLOOKUP($D168,master_food_list,'Master Food List'!S$91,FALSE)))</f>
        <v>0</v>
      </c>
      <c r="K168" s="291">
        <f ca="1">IF(J168="","",(VLOOKUP($D168,master_food_list,'Master Food List'!T$91,FALSE)))</f>
        <v>118.27956989247312</v>
      </c>
    </row>
    <row r="169" spans="1:11" s="189" customFormat="1" ht="51" x14ac:dyDescent="0.2">
      <c r="A169" s="282">
        <v>23</v>
      </c>
      <c r="B169" s="283" t="s">
        <v>456</v>
      </c>
      <c r="C169" s="283" t="s">
        <v>462</v>
      </c>
      <c r="D169" s="284" t="s">
        <v>480</v>
      </c>
      <c r="E169" s="292">
        <f ca="1">IF(D169="","",(VLOOKUP($D169,master_food_list,'Master Food List'!N$91,FALSE)))</f>
        <v>620</v>
      </c>
      <c r="F169" s="292">
        <f ca="1">IF(E169="","",(VLOOKUP($D169,master_food_list,'Master Food List'!O$91,FALSE)))</f>
        <v>74</v>
      </c>
      <c r="G169" s="292">
        <f ca="1">IF(F169="","",(VLOOKUP($D169,master_food_list,'Master Food List'!P$91,FALSE)))</f>
        <v>16</v>
      </c>
      <c r="H169" s="292">
        <f ca="1">IF(G169="","",(VLOOKUP($D169,master_food_list,'Master Food List'!Q$91,FALSE)))</f>
        <v>31</v>
      </c>
      <c r="I169" s="292">
        <f ca="1">IF(H169="","",(VLOOKUP($D169,master_food_list,'Master Food List'!R$91,FALSE)))</f>
        <v>280</v>
      </c>
      <c r="J169" s="292">
        <f ca="1">IF(I169="","",(VLOOKUP($D169,master_food_list,'Master Food List'!S$91,FALSE)))</f>
        <v>0</v>
      </c>
      <c r="K169" s="292">
        <f ca="1">IF(J169="","",(VLOOKUP($D169,master_food_list,'Master Food List'!T$91,FALSE)))</f>
        <v>130.52631578947367</v>
      </c>
    </row>
    <row r="170" spans="1:11" s="189" customFormat="1" ht="51" x14ac:dyDescent="0.2">
      <c r="A170" s="282">
        <v>23</v>
      </c>
      <c r="B170" s="283" t="s">
        <v>456</v>
      </c>
      <c r="C170" s="283" t="s">
        <v>461</v>
      </c>
      <c r="D170" s="284" t="s">
        <v>430</v>
      </c>
      <c r="E170" s="292">
        <f ca="1">IF(D170="","",(VLOOKUP($D170,master_food_list,'Master Food List'!N$91,FALSE)))</f>
        <v>510</v>
      </c>
      <c r="F170" s="292">
        <f ca="1">IF(E170="","",(VLOOKUP($D170,master_food_list,'Master Food List'!O$91,FALSE)))</f>
        <v>42</v>
      </c>
      <c r="G170" s="292">
        <f ca="1">IF(F170="","",(VLOOKUP($D170,master_food_list,'Master Food List'!P$91,FALSE)))</f>
        <v>10.5</v>
      </c>
      <c r="H170" s="292">
        <f ca="1">IF(G170="","",(VLOOKUP($D170,master_food_list,'Master Food List'!Q$91,FALSE)))</f>
        <v>33</v>
      </c>
      <c r="I170" s="292">
        <f ca="1">IF(H170="","",(VLOOKUP($D170,master_food_list,'Master Food List'!R$91,FALSE)))</f>
        <v>75</v>
      </c>
      <c r="J170" s="292">
        <f ca="1">IF(I170="","",(VLOOKUP($D170,master_food_list,'Master Food List'!S$91,FALSE)))</f>
        <v>0</v>
      </c>
      <c r="K170" s="292">
        <f ca="1">IF(J170="","",(VLOOKUP($D170,master_food_list,'Master Food List'!T$91,FALSE)))</f>
        <v>170</v>
      </c>
    </row>
    <row r="171" spans="1:11" s="189" customFormat="1" ht="51" x14ac:dyDescent="0.2">
      <c r="A171" s="282">
        <v>23</v>
      </c>
      <c r="B171" s="283" t="s">
        <v>456</v>
      </c>
      <c r="C171" s="283" t="s">
        <v>460</v>
      </c>
      <c r="D171" s="285"/>
      <c r="E171" s="292" t="str">
        <f>IF(D171="","",(VLOOKUP($D171,master_food_list,'Master Food List'!N$91,FALSE)))</f>
        <v/>
      </c>
      <c r="F171" s="292" t="str">
        <f>IF(E171="","",(VLOOKUP($D171,master_food_list,'Master Food List'!O$91,FALSE)))</f>
        <v/>
      </c>
      <c r="G171" s="292" t="str">
        <f>IF(F171="","",(VLOOKUP($D171,master_food_list,'Master Food List'!P$91,FALSE)))</f>
        <v/>
      </c>
      <c r="H171" s="292" t="str">
        <f>IF(G171="","",(VLOOKUP($D171,master_food_list,'Master Food List'!Q$91,FALSE)))</f>
        <v/>
      </c>
      <c r="I171" s="292" t="str">
        <f>IF(H171="","",(VLOOKUP($D171,master_food_list,'Master Food List'!R$91,FALSE)))</f>
        <v/>
      </c>
      <c r="J171" s="292" t="str">
        <f>IF(I171="","",(VLOOKUP($D171,master_food_list,'Master Food List'!S$91,FALSE)))</f>
        <v/>
      </c>
      <c r="K171" s="292" t="str">
        <f>IF(J171="","",(VLOOKUP($D171,master_food_list,'Master Food List'!T$91,FALSE)))</f>
        <v/>
      </c>
    </row>
    <row r="172" spans="1:11" s="189" customFormat="1" ht="51" x14ac:dyDescent="0.2">
      <c r="A172" s="282">
        <v>23</v>
      </c>
      <c r="B172" s="283" t="s">
        <v>456</v>
      </c>
      <c r="C172" s="283" t="s">
        <v>459</v>
      </c>
      <c r="D172" s="284" t="s">
        <v>347</v>
      </c>
      <c r="E172" s="292">
        <f ca="1">IF(D172="","",(VLOOKUP($D172,master_food_list,'Master Food List'!N$91,FALSE)))</f>
        <v>665</v>
      </c>
      <c r="F172" s="292">
        <f ca="1">IF(E172="","",(VLOOKUP($D172,master_food_list,'Master Food List'!O$91,FALSE)))</f>
        <v>0</v>
      </c>
      <c r="G172" s="292">
        <f ca="1">IF(F172="","",(VLOOKUP($D172,master_food_list,'Master Food List'!P$91,FALSE)))</f>
        <v>35</v>
      </c>
      <c r="H172" s="292">
        <f ca="1">IF(G172="","",(VLOOKUP($D172,master_food_list,'Master Food List'!Q$91,FALSE)))</f>
        <v>56</v>
      </c>
      <c r="I172" s="292">
        <f ca="1">IF(H172="","",(VLOOKUP($D172,master_food_list,'Master Food List'!R$91,FALSE)))</f>
        <v>2415</v>
      </c>
      <c r="J172" s="292">
        <f ca="1">IF(I172="","",(VLOOKUP($D172,master_food_list,'Master Food List'!S$91,FALSE)))</f>
        <v>0</v>
      </c>
      <c r="K172" s="292">
        <f ca="1">IF(J172="","",(VLOOKUP($D172,master_food_list,'Master Food List'!T$91,FALSE)))</f>
        <v>180.70652173913044</v>
      </c>
    </row>
    <row r="173" spans="1:11" s="189" customFormat="1" ht="51" x14ac:dyDescent="0.2">
      <c r="A173" s="282">
        <v>23</v>
      </c>
      <c r="B173" s="283" t="s">
        <v>456</v>
      </c>
      <c r="C173" s="283" t="s">
        <v>458</v>
      </c>
      <c r="D173" s="285" t="s">
        <v>486</v>
      </c>
      <c r="E173" s="292">
        <f ca="1">IF(D173="","",(VLOOKUP($D173,master_food_list,'Master Food List'!N$91,FALSE)))</f>
        <v>960</v>
      </c>
      <c r="F173" s="292">
        <f ca="1">IF(E173="","",(VLOOKUP($D173,master_food_list,'Master Food List'!O$91,FALSE)))</f>
        <v>178</v>
      </c>
      <c r="G173" s="292">
        <f ca="1">IF(F173="","",(VLOOKUP($D173,master_food_list,'Master Food List'!P$91,FALSE)))</f>
        <v>34</v>
      </c>
      <c r="H173" s="292">
        <f ca="1">IF(G173="","",(VLOOKUP($D173,master_food_list,'Master Food List'!Q$91,FALSE)))</f>
        <v>12</v>
      </c>
      <c r="I173" s="292">
        <f ca="1">IF(H173="","",(VLOOKUP($D173,master_food_list,'Master Food List'!R$91,FALSE)))</f>
        <v>1620</v>
      </c>
      <c r="J173" s="292">
        <f ca="1">IF(I173="","",(VLOOKUP($D173,master_food_list,'Master Food List'!S$91,FALSE)))</f>
        <v>0</v>
      </c>
      <c r="K173" s="292">
        <f ca="1">IF(J173="","",(VLOOKUP($D173,master_food_list,'Master Food List'!T$91,FALSE)))</f>
        <v>109.09090909090908</v>
      </c>
    </row>
    <row r="174" spans="1:11" s="189" customFormat="1" ht="51" x14ac:dyDescent="0.2">
      <c r="A174" s="282">
        <v>23</v>
      </c>
      <c r="B174" s="283" t="s">
        <v>456</v>
      </c>
      <c r="C174" s="283" t="s">
        <v>457</v>
      </c>
      <c r="D174" s="285" t="s">
        <v>479</v>
      </c>
      <c r="E174" s="292">
        <f ca="1">IF(D174="","",(VLOOKUP($D174,master_food_list,'Master Food List'!N$91,FALSE)))</f>
        <v>300</v>
      </c>
      <c r="F174" s="292">
        <f ca="1">IF(E174="","",(VLOOKUP($D174,master_food_list,'Master Food List'!O$91,FALSE)))</f>
        <v>10.5</v>
      </c>
      <c r="G174" s="292">
        <f ca="1">IF(F174="","",(VLOOKUP($D174,master_food_list,'Master Food List'!P$91,FALSE)))</f>
        <v>10.5</v>
      </c>
      <c r="H174" s="292">
        <f ca="1">IF(G174="","",(VLOOKUP($D174,master_food_list,'Master Food List'!Q$91,FALSE)))</f>
        <v>25.5</v>
      </c>
      <c r="I174" s="292">
        <f ca="1">IF(H174="","",(VLOOKUP($D174,master_food_list,'Master Food List'!R$91,FALSE)))</f>
        <v>150</v>
      </c>
      <c r="J174" s="292">
        <f ca="1">IF(I174="","",(VLOOKUP($D174,master_food_list,'Master Food List'!S$91,FALSE)))</f>
        <v>0</v>
      </c>
      <c r="K174" s="292">
        <f ca="1">IF(J174="","",(VLOOKUP($D174,master_food_list,'Master Food List'!T$91,FALSE)))</f>
        <v>177.77777777777777</v>
      </c>
    </row>
    <row r="175" spans="1:11" s="189" customFormat="1" ht="51" x14ac:dyDescent="0.2">
      <c r="A175" s="282">
        <v>23</v>
      </c>
      <c r="B175" s="283" t="s">
        <v>456</v>
      </c>
      <c r="C175" s="283" t="s">
        <v>455</v>
      </c>
      <c r="D175" s="285" t="s">
        <v>313</v>
      </c>
      <c r="E175" s="292">
        <f ca="1">IF(D175="","",(VLOOKUP($D175,master_food_list,'Master Food List'!N$91,FALSE)))</f>
        <v>170</v>
      </c>
      <c r="F175" s="292">
        <f ca="1">IF(E175="","",(VLOOKUP($D175,master_food_list,'Master Food List'!O$91,FALSE)))</f>
        <v>28</v>
      </c>
      <c r="G175" s="292">
        <f ca="1">IF(F175="","",(VLOOKUP($D175,master_food_list,'Master Food List'!P$91,FALSE)))</f>
        <v>2</v>
      </c>
      <c r="H175" s="292">
        <f ca="1">IF(G175="","",(VLOOKUP($D175,master_food_list,'Master Food List'!Q$91,FALSE)))</f>
        <v>6</v>
      </c>
      <c r="I175" s="292">
        <f ca="1">IF(H175="","",(VLOOKUP($D175,master_food_list,'Master Food List'!R$91,FALSE)))</f>
        <v>135</v>
      </c>
      <c r="J175" s="292">
        <f ca="1">IF(I175="","",(VLOOKUP($D175,master_food_list,'Master Food List'!S$91,FALSE)))</f>
        <v>0</v>
      </c>
      <c r="K175" s="292">
        <f ca="1">IF(J175="","",(VLOOKUP($D175,master_food_list,'Master Food List'!T$91,FALSE)))</f>
        <v>150.44247787610621</v>
      </c>
    </row>
    <row r="176" spans="1:11" customFormat="1" ht="51" x14ac:dyDescent="0.2">
      <c r="A176" s="286">
        <v>24</v>
      </c>
      <c r="B176" s="287" t="s">
        <v>456</v>
      </c>
      <c r="C176" s="287" t="s">
        <v>462</v>
      </c>
      <c r="D176" s="288" t="s">
        <v>485</v>
      </c>
      <c r="E176" s="293">
        <f ca="1">IF(D176="","",(VLOOKUP($D176,master_food_list,'Master Food List'!N$91,FALSE)))</f>
        <v>500</v>
      </c>
      <c r="F176" s="293">
        <f ca="1">IF(E176="","",(VLOOKUP($D176,master_food_list,'Master Food List'!O$91,FALSE)))</f>
        <v>74</v>
      </c>
      <c r="G176" s="293">
        <f ca="1">IF(F176="","",(VLOOKUP($D176,master_food_list,'Master Food List'!P$91,FALSE)))</f>
        <v>16</v>
      </c>
      <c r="H176" s="293">
        <f ca="1">IF(G176="","",(VLOOKUP($D176,master_food_list,'Master Food List'!Q$91,FALSE)))</f>
        <v>18</v>
      </c>
      <c r="I176" s="293">
        <f ca="1">IF(H176="","",(VLOOKUP($D176,master_food_list,'Master Food List'!R$91,FALSE)))</f>
        <v>130</v>
      </c>
      <c r="J176" s="293">
        <f ca="1">IF(I176="","",(VLOOKUP($D176,master_food_list,'Master Food List'!S$91,FALSE)))</f>
        <v>0</v>
      </c>
      <c r="K176" s="293">
        <f ca="1">IF(J176="","",(VLOOKUP($D176,master_food_list,'Master Food List'!T$91,FALSE)))</f>
        <v>126.55024044545685</v>
      </c>
    </row>
    <row r="177" spans="1:11" customFormat="1" ht="51" x14ac:dyDescent="0.2">
      <c r="A177" s="286">
        <v>24</v>
      </c>
      <c r="B177" s="287" t="s">
        <v>456</v>
      </c>
      <c r="C177" s="287" t="s">
        <v>461</v>
      </c>
      <c r="D177" s="288" t="s">
        <v>433</v>
      </c>
      <c r="E177" s="293">
        <f ca="1">IF(D177="","",(VLOOKUP($D177,master_food_list,'Master Food List'!N$91,FALSE)))</f>
        <v>280</v>
      </c>
      <c r="F177" s="293">
        <f ca="1">IF(E177="","",(VLOOKUP($D177,master_food_list,'Master Food List'!O$91,FALSE)))</f>
        <v>34</v>
      </c>
      <c r="G177" s="293">
        <f ca="1">IF(F177="","",(VLOOKUP($D177,master_food_list,'Master Food List'!P$91,FALSE)))</f>
        <v>2</v>
      </c>
      <c r="H177" s="293">
        <f ca="1">IF(G177="","",(VLOOKUP($D177,master_food_list,'Master Food List'!Q$91,FALSE)))</f>
        <v>17</v>
      </c>
      <c r="I177" s="293">
        <f ca="1">IF(H177="","",(VLOOKUP($D177,master_food_list,'Master Food List'!R$91,FALSE)))</f>
        <v>0</v>
      </c>
      <c r="J177" s="293">
        <f ca="1">IF(I177="","",(VLOOKUP($D177,master_food_list,'Master Food List'!S$91,FALSE)))</f>
        <v>0</v>
      </c>
      <c r="K177" s="293">
        <f ca="1">IF(J177="","",(VLOOKUP($D177,master_food_list,'Master Food List'!T$91,FALSE)))</f>
        <v>140</v>
      </c>
    </row>
    <row r="178" spans="1:11" customFormat="1" ht="51" x14ac:dyDescent="0.2">
      <c r="A178" s="286">
        <v>24</v>
      </c>
      <c r="B178" s="287" t="s">
        <v>456</v>
      </c>
      <c r="C178" s="287" t="s">
        <v>460</v>
      </c>
      <c r="D178" s="289"/>
      <c r="E178" s="293" t="str">
        <f>IF(D178="","",(VLOOKUP($D178,master_food_list,'Master Food List'!N$91,FALSE)))</f>
        <v/>
      </c>
      <c r="F178" s="293" t="str">
        <f>IF(E178="","",(VLOOKUP($D178,master_food_list,'Master Food List'!O$91,FALSE)))</f>
        <v/>
      </c>
      <c r="G178" s="293" t="str">
        <f>IF(F178="","",(VLOOKUP($D178,master_food_list,'Master Food List'!P$91,FALSE)))</f>
        <v/>
      </c>
      <c r="H178" s="293" t="str">
        <f>IF(G178="","",(VLOOKUP($D178,master_food_list,'Master Food List'!Q$91,FALSE)))</f>
        <v/>
      </c>
      <c r="I178" s="293" t="str">
        <f>IF(H178="","",(VLOOKUP($D178,master_food_list,'Master Food List'!R$91,FALSE)))</f>
        <v/>
      </c>
      <c r="J178" s="293" t="str">
        <f>IF(I178="","",(VLOOKUP($D178,master_food_list,'Master Food List'!S$91,FALSE)))</f>
        <v/>
      </c>
      <c r="K178" s="293" t="str">
        <f>IF(J178="","",(VLOOKUP($D178,master_food_list,'Master Food List'!T$91,FALSE)))</f>
        <v/>
      </c>
    </row>
    <row r="179" spans="1:11" customFormat="1" ht="51" x14ac:dyDescent="0.2">
      <c r="A179" s="286">
        <v>24</v>
      </c>
      <c r="B179" s="287" t="s">
        <v>456</v>
      </c>
      <c r="C179" s="287" t="s">
        <v>459</v>
      </c>
      <c r="D179" s="288" t="s">
        <v>396</v>
      </c>
      <c r="E179" s="293">
        <f ca="1">IF(D179="","",(VLOOKUP($D179,master_food_list,'Master Food List'!N$91,FALSE)))</f>
        <v>270</v>
      </c>
      <c r="F179" s="293">
        <f ca="1">IF(E179="","",(VLOOKUP($D179,master_food_list,'Master Food List'!O$91,FALSE)))</f>
        <v>30</v>
      </c>
      <c r="G179" s="293">
        <f ca="1">IF(F179="","",(VLOOKUP($D179,master_food_list,'Master Food List'!P$91,FALSE)))</f>
        <v>20</v>
      </c>
      <c r="H179" s="293">
        <f ca="1">IF(G179="","",(VLOOKUP($D179,master_food_list,'Master Food List'!Q$91,FALSE)))</f>
        <v>9</v>
      </c>
      <c r="I179" s="293">
        <f ca="1">IF(H179="","",(VLOOKUP($D179,master_food_list,'Master Food List'!R$91,FALSE)))</f>
        <v>200</v>
      </c>
      <c r="J179" s="293">
        <f ca="1">IF(I179="","",(VLOOKUP($D179,master_food_list,'Master Food List'!S$91,FALSE)))</f>
        <v>0</v>
      </c>
      <c r="K179" s="293">
        <f ca="1">IF(J179="","",(VLOOKUP($D179,master_food_list,'Master Food List'!T$91,FALSE)))</f>
        <v>112.5</v>
      </c>
    </row>
    <row r="180" spans="1:11" customFormat="1" ht="51" x14ac:dyDescent="0.2">
      <c r="A180" s="286">
        <v>24</v>
      </c>
      <c r="B180" s="287" t="s">
        <v>456</v>
      </c>
      <c r="C180" s="287" t="s">
        <v>458</v>
      </c>
      <c r="D180" s="289" t="s">
        <v>503</v>
      </c>
      <c r="E180" s="293">
        <f ca="1">IF(D180="","",(VLOOKUP($D180,master_food_list,'Master Food List'!N$91,FALSE)))</f>
        <v>880</v>
      </c>
      <c r="F180" s="293">
        <f ca="1">IF(E180="","",(VLOOKUP($D180,master_food_list,'Master Food List'!O$91,FALSE)))</f>
        <v>122</v>
      </c>
      <c r="G180" s="293">
        <f ca="1">IF(F180="","",(VLOOKUP($D180,master_food_list,'Master Food List'!P$91,FALSE)))</f>
        <v>36</v>
      </c>
      <c r="H180" s="293">
        <f ca="1">IF(G180="","",(VLOOKUP($D180,master_food_list,'Master Food List'!Q$91,FALSE)))</f>
        <v>36</v>
      </c>
      <c r="I180" s="293">
        <f ca="1">IF(H180="","",(VLOOKUP($D180,master_food_list,'Master Food List'!R$91,FALSE)))</f>
        <v>920</v>
      </c>
      <c r="J180" s="293">
        <f ca="1">IF(I180="","",(VLOOKUP($D180,master_food_list,'Master Food List'!S$91,FALSE)))</f>
        <v>0</v>
      </c>
      <c r="K180" s="293">
        <f ca="1">IF(J180="","",(VLOOKUP($D180,master_food_list,'Master Food List'!T$91,FALSE)))</f>
        <v>110</v>
      </c>
    </row>
    <row r="181" spans="1:11" customFormat="1" ht="51" x14ac:dyDescent="0.2">
      <c r="A181" s="286">
        <v>24</v>
      </c>
      <c r="B181" s="287" t="s">
        <v>456</v>
      </c>
      <c r="C181" s="287" t="s">
        <v>457</v>
      </c>
      <c r="D181" s="289" t="s">
        <v>479</v>
      </c>
      <c r="E181" s="293">
        <f ca="1">IF(D181="","",(VLOOKUP($D181,master_food_list,'Master Food List'!N$91,FALSE)))</f>
        <v>300</v>
      </c>
      <c r="F181" s="293">
        <f ca="1">IF(E181="","",(VLOOKUP($D181,master_food_list,'Master Food List'!O$91,FALSE)))</f>
        <v>10.5</v>
      </c>
      <c r="G181" s="293">
        <f ca="1">IF(F181="","",(VLOOKUP($D181,master_food_list,'Master Food List'!P$91,FALSE)))</f>
        <v>10.5</v>
      </c>
      <c r="H181" s="293">
        <f ca="1">IF(G181="","",(VLOOKUP($D181,master_food_list,'Master Food List'!Q$91,FALSE)))</f>
        <v>25.5</v>
      </c>
      <c r="I181" s="293">
        <f ca="1">IF(H181="","",(VLOOKUP($D181,master_food_list,'Master Food List'!R$91,FALSE)))</f>
        <v>150</v>
      </c>
      <c r="J181" s="293">
        <f ca="1">IF(I181="","",(VLOOKUP($D181,master_food_list,'Master Food List'!S$91,FALSE)))</f>
        <v>0</v>
      </c>
      <c r="K181" s="293">
        <f ca="1">IF(J181="","",(VLOOKUP($D181,master_food_list,'Master Food List'!T$91,FALSE)))</f>
        <v>177.77777777777777</v>
      </c>
    </row>
    <row r="182" spans="1:11" customFormat="1" ht="51" x14ac:dyDescent="0.2">
      <c r="A182" s="286">
        <v>24</v>
      </c>
      <c r="B182" s="287" t="s">
        <v>456</v>
      </c>
      <c r="C182" s="287" t="s">
        <v>455</v>
      </c>
      <c r="D182" s="289" t="s">
        <v>484</v>
      </c>
      <c r="E182" s="293">
        <f ca="1">IF(D182="","",(VLOOKUP($D182,master_food_list,'Master Food List'!N$91,FALSE)))</f>
        <v>540</v>
      </c>
      <c r="F182" s="293">
        <f ca="1">IF(E182="","",(VLOOKUP($D182,master_food_list,'Master Food List'!O$91,FALSE)))</f>
        <v>72</v>
      </c>
      <c r="G182" s="293">
        <f ca="1">IF(F182="","",(VLOOKUP($D182,master_food_list,'Master Food List'!P$91,FALSE)))</f>
        <v>14</v>
      </c>
      <c r="H182" s="293">
        <f ca="1">IF(G182="","",(VLOOKUP($D182,master_food_list,'Master Food List'!Q$91,FALSE)))</f>
        <v>22</v>
      </c>
      <c r="I182" s="293">
        <f ca="1">IF(H182="","",(VLOOKUP($D182,master_food_list,'Master Food List'!R$91,FALSE)))</f>
        <v>780</v>
      </c>
      <c r="J182" s="293">
        <f ca="1">IF(I182="","",(VLOOKUP($D182,master_food_list,'Master Food List'!S$91,FALSE)))</f>
        <v>0</v>
      </c>
      <c r="K182" s="293">
        <f ca="1">IF(J182="","",(VLOOKUP($D182,master_food_list,'Master Food List'!T$91,FALSE)))</f>
        <v>117.39130434782609</v>
      </c>
    </row>
    <row r="183" spans="1:11" customFormat="1" ht="51" x14ac:dyDescent="0.2">
      <c r="A183" s="286">
        <v>25</v>
      </c>
      <c r="B183" s="287" t="s">
        <v>456</v>
      </c>
      <c r="C183" s="287" t="s">
        <v>462</v>
      </c>
      <c r="D183" s="288" t="s">
        <v>481</v>
      </c>
      <c r="E183" s="293">
        <f ca="1">IF(D183="","",(VLOOKUP($D183,master_food_list,'Master Food List'!N$91,FALSE)))</f>
        <v>400</v>
      </c>
      <c r="F183" s="293">
        <f ca="1">IF(E183="","",(VLOOKUP($D183,master_food_list,'Master Food List'!O$91,FALSE)))</f>
        <v>72</v>
      </c>
      <c r="G183" s="293">
        <f ca="1">IF(F183="","",(VLOOKUP($D183,master_food_list,'Master Food List'!P$91,FALSE)))</f>
        <v>6</v>
      </c>
      <c r="H183" s="293">
        <f ca="1">IF(G183="","",(VLOOKUP($D183,master_food_list,'Master Food List'!Q$91,FALSE)))</f>
        <v>10</v>
      </c>
      <c r="I183" s="293">
        <f ca="1">IF(H183="","",(VLOOKUP($D183,master_food_list,'Master Food List'!R$91,FALSE)))</f>
        <v>420</v>
      </c>
      <c r="J183" s="293">
        <f ca="1">IF(I183="","",(VLOOKUP($D183,master_food_list,'Master Food List'!S$91,FALSE)))</f>
        <v>0</v>
      </c>
      <c r="K183" s="293">
        <f ca="1">IF(J183="","",(VLOOKUP($D183,master_food_list,'Master Food List'!T$91,FALSE)))</f>
        <v>109.09090909090909</v>
      </c>
    </row>
    <row r="184" spans="1:11" customFormat="1" ht="51" x14ac:dyDescent="0.2">
      <c r="A184" s="286">
        <v>25</v>
      </c>
      <c r="B184" s="287" t="s">
        <v>456</v>
      </c>
      <c r="C184" s="287" t="s">
        <v>461</v>
      </c>
      <c r="D184" s="288" t="s">
        <v>333</v>
      </c>
      <c r="E184" s="293">
        <f ca="1">IF(D184="","",(VLOOKUP($D184,master_food_list,'Master Food List'!N$91,FALSE)))</f>
        <v>325</v>
      </c>
      <c r="F184" s="293">
        <f ca="1">IF(E184="","",(VLOOKUP($D184,master_food_list,'Master Food List'!O$91,FALSE)))</f>
        <v>40</v>
      </c>
      <c r="G184" s="293">
        <f ca="1">IF(F184="","",(VLOOKUP($D184,master_food_list,'Master Food List'!P$91,FALSE)))</f>
        <v>2.5</v>
      </c>
      <c r="H184" s="293">
        <f ca="1">IF(G184="","",(VLOOKUP($D184,master_food_list,'Master Food List'!Q$91,FALSE)))</f>
        <v>17.5</v>
      </c>
      <c r="I184" s="293">
        <f ca="1">IF(H184="","",(VLOOKUP($D184,master_food_list,'Master Food List'!R$91,FALSE)))</f>
        <v>25</v>
      </c>
      <c r="J184" s="293">
        <f ca="1">IF(I184="","",(VLOOKUP($D184,master_food_list,'Master Food List'!S$91,FALSE)))</f>
        <v>0</v>
      </c>
      <c r="K184" s="293">
        <f ca="1">IF(J184="","",(VLOOKUP($D184,master_food_list,'Master Food List'!T$91,FALSE)))</f>
        <v>156.25</v>
      </c>
    </row>
    <row r="185" spans="1:11" customFormat="1" ht="51" x14ac:dyDescent="0.2">
      <c r="A185" s="286">
        <v>25</v>
      </c>
      <c r="B185" s="287" t="s">
        <v>456</v>
      </c>
      <c r="C185" s="287" t="s">
        <v>460</v>
      </c>
      <c r="D185" s="289"/>
      <c r="E185" s="293" t="str">
        <f>IF(D185="","",(VLOOKUP($D185,master_food_list,'Master Food List'!N$91,FALSE)))</f>
        <v/>
      </c>
      <c r="F185" s="293" t="str">
        <f>IF(E185="","",(VLOOKUP($D185,master_food_list,'Master Food List'!O$91,FALSE)))</f>
        <v/>
      </c>
      <c r="G185" s="293" t="str">
        <f>IF(F185="","",(VLOOKUP($D185,master_food_list,'Master Food List'!P$91,FALSE)))</f>
        <v/>
      </c>
      <c r="H185" s="293" t="str">
        <f>IF(G185="","",(VLOOKUP($D185,master_food_list,'Master Food List'!Q$91,FALSE)))</f>
        <v/>
      </c>
      <c r="I185" s="293" t="str">
        <f>IF(H185="","",(VLOOKUP($D185,master_food_list,'Master Food List'!R$91,FALSE)))</f>
        <v/>
      </c>
      <c r="J185" s="293" t="str">
        <f>IF(I185="","",(VLOOKUP($D185,master_food_list,'Master Food List'!S$91,FALSE)))</f>
        <v/>
      </c>
      <c r="K185" s="293" t="str">
        <f>IF(J185="","",(VLOOKUP($D185,master_food_list,'Master Food List'!T$91,FALSE)))</f>
        <v/>
      </c>
    </row>
    <row r="186" spans="1:11" customFormat="1" ht="51" x14ac:dyDescent="0.2">
      <c r="A186" s="286">
        <v>25</v>
      </c>
      <c r="B186" s="287" t="s">
        <v>456</v>
      </c>
      <c r="C186" s="287" t="s">
        <v>459</v>
      </c>
      <c r="D186" s="288" t="s">
        <v>522</v>
      </c>
      <c r="E186" s="293">
        <f ca="1">IF(D186="","",(VLOOKUP($D186,master_food_list,'Master Food List'!N$91,FALSE)))</f>
        <v>300</v>
      </c>
      <c r="F186" s="293">
        <f ca="1">IF(E186="","",(VLOOKUP($D186,master_food_list,'Master Food List'!O$91,FALSE)))</f>
        <v>26</v>
      </c>
      <c r="G186" s="293">
        <f ca="1">IF(F186="","",(VLOOKUP($D186,master_food_list,'Master Food List'!P$91,FALSE)))</f>
        <v>4</v>
      </c>
      <c r="H186" s="293">
        <f ca="1">IF(G186="","",(VLOOKUP($D186,master_food_list,'Master Food List'!Q$91,FALSE)))</f>
        <v>20</v>
      </c>
      <c r="I186" s="293">
        <f ca="1">IF(H186="","",(VLOOKUP($D186,master_food_list,'Master Food List'!R$91,FALSE)))</f>
        <v>500</v>
      </c>
      <c r="J186" s="293">
        <f ca="1">IF(I186="","",(VLOOKUP($D186,master_food_list,'Master Food List'!S$91,FALSE)))</f>
        <v>0</v>
      </c>
      <c r="K186" s="293">
        <f ca="1">IF(J186="","",(VLOOKUP($D186,master_food_list,'Master Food List'!T$91,FALSE)))</f>
        <v>154.28571428571428</v>
      </c>
    </row>
    <row r="187" spans="1:11" customFormat="1" ht="51" x14ac:dyDescent="0.2">
      <c r="A187" s="286">
        <v>25</v>
      </c>
      <c r="B187" s="287" t="s">
        <v>456</v>
      </c>
      <c r="C187" s="287" t="s">
        <v>458</v>
      </c>
      <c r="D187" s="289" t="s">
        <v>294</v>
      </c>
      <c r="E187" s="293">
        <f ca="1">IF(D187="","",(VLOOKUP($D187,master_food_list,'Master Food List'!N$91,FALSE)))</f>
        <v>960</v>
      </c>
      <c r="F187" s="293">
        <f ca="1">IF(E187="","",(VLOOKUP($D187,master_food_list,'Master Food List'!O$91,FALSE)))</f>
        <v>93</v>
      </c>
      <c r="G187" s="293">
        <f ca="1">IF(F187="","",(VLOOKUP($D187,master_food_list,'Master Food List'!P$91,FALSE)))</f>
        <v>39</v>
      </c>
      <c r="H187" s="293">
        <f ca="1">IF(G187="","",(VLOOKUP($D187,master_food_list,'Master Food List'!Q$91,FALSE)))</f>
        <v>45</v>
      </c>
      <c r="I187" s="293">
        <f ca="1">IF(H187="","",(VLOOKUP($D187,master_food_list,'Master Food List'!R$91,FALSE)))</f>
        <v>2040</v>
      </c>
      <c r="J187" s="293">
        <f ca="1">IF(I187="","",(VLOOKUP($D187,master_food_list,'Master Food List'!S$91,FALSE)))</f>
        <v>0</v>
      </c>
      <c r="K187" s="293">
        <f ca="1">IF(J187="","",(VLOOKUP($D187,master_food_list,'Master Food List'!T$91,FALSE)))</f>
        <v>141.03819784524975</v>
      </c>
    </row>
    <row r="188" spans="1:11" customFormat="1" ht="51" x14ac:dyDescent="0.2">
      <c r="A188" s="286">
        <v>25</v>
      </c>
      <c r="B188" s="287" t="s">
        <v>456</v>
      </c>
      <c r="C188" s="287" t="s">
        <v>457</v>
      </c>
      <c r="D188" s="289" t="s">
        <v>479</v>
      </c>
      <c r="E188" s="293">
        <f ca="1">IF(D188="","",(VLOOKUP($D188,master_food_list,'Master Food List'!N$91,FALSE)))</f>
        <v>300</v>
      </c>
      <c r="F188" s="293">
        <f ca="1">IF(E188="","",(VLOOKUP($D188,master_food_list,'Master Food List'!O$91,FALSE)))</f>
        <v>10.5</v>
      </c>
      <c r="G188" s="293">
        <f ca="1">IF(F188="","",(VLOOKUP($D188,master_food_list,'Master Food List'!P$91,FALSE)))</f>
        <v>10.5</v>
      </c>
      <c r="H188" s="293">
        <f ca="1">IF(G188="","",(VLOOKUP($D188,master_food_list,'Master Food List'!Q$91,FALSE)))</f>
        <v>25.5</v>
      </c>
      <c r="I188" s="293">
        <f ca="1">IF(H188="","",(VLOOKUP($D188,master_food_list,'Master Food List'!R$91,FALSE)))</f>
        <v>150</v>
      </c>
      <c r="J188" s="293">
        <f ca="1">IF(I188="","",(VLOOKUP($D188,master_food_list,'Master Food List'!S$91,FALSE)))</f>
        <v>0</v>
      </c>
      <c r="K188" s="293">
        <f ca="1">IF(J188="","",(VLOOKUP($D188,master_food_list,'Master Food List'!T$91,FALSE)))</f>
        <v>177.77777777777777</v>
      </c>
    </row>
    <row r="189" spans="1:11" customFormat="1" ht="51" x14ac:dyDescent="0.2">
      <c r="A189" s="286">
        <v>25</v>
      </c>
      <c r="B189" s="287" t="s">
        <v>456</v>
      </c>
      <c r="C189" s="287" t="s">
        <v>455</v>
      </c>
      <c r="D189" s="289" t="s">
        <v>505</v>
      </c>
      <c r="E189" s="293">
        <f ca="1">IF(D189="","",(VLOOKUP($D189,master_food_list,'Master Food List'!N$91,FALSE)))</f>
        <v>500</v>
      </c>
      <c r="F189" s="293">
        <f ca="1">IF(E189="","",(VLOOKUP($D189,master_food_list,'Master Food List'!O$91,FALSE)))</f>
        <v>108</v>
      </c>
      <c r="G189" s="293">
        <f ca="1">IF(F189="","",(VLOOKUP($D189,master_food_list,'Master Food List'!P$91,FALSE)))</f>
        <v>10</v>
      </c>
      <c r="H189" s="293">
        <f ca="1">IF(G189="","",(VLOOKUP($D189,master_food_list,'Master Food List'!Q$91,FALSE)))</f>
        <v>5</v>
      </c>
      <c r="I189" s="293">
        <f ca="1">IF(H189="","",(VLOOKUP($D189,master_food_list,'Master Food List'!R$91,FALSE)))</f>
        <v>680</v>
      </c>
      <c r="J189" s="293">
        <f ca="1">IF(I189="","",(VLOOKUP($D189,master_food_list,'Master Food List'!S$91,FALSE)))</f>
        <v>0</v>
      </c>
      <c r="K189" s="293">
        <f ca="1">IF(J189="","",(VLOOKUP($D189,master_food_list,'Master Food List'!T$91,FALSE)))</f>
        <v>111.11111111111111</v>
      </c>
    </row>
    <row r="190" spans="1:11" customFormat="1" ht="51" x14ac:dyDescent="0.2">
      <c r="A190" s="286">
        <v>26</v>
      </c>
      <c r="B190" s="287" t="s">
        <v>456</v>
      </c>
      <c r="C190" s="287" t="s">
        <v>462</v>
      </c>
      <c r="D190" s="288" t="s">
        <v>480</v>
      </c>
      <c r="E190" s="293">
        <f ca="1">IF(D190="","",(VLOOKUP($D190,master_food_list,'Master Food List'!N$91,FALSE)))</f>
        <v>620</v>
      </c>
      <c r="F190" s="293">
        <f ca="1">IF(E190="","",(VLOOKUP($D190,master_food_list,'Master Food List'!O$91,FALSE)))</f>
        <v>74</v>
      </c>
      <c r="G190" s="293">
        <f ca="1">IF(F190="","",(VLOOKUP($D190,master_food_list,'Master Food List'!P$91,FALSE)))</f>
        <v>16</v>
      </c>
      <c r="H190" s="293">
        <f ca="1">IF(G190="","",(VLOOKUP($D190,master_food_list,'Master Food List'!Q$91,FALSE)))</f>
        <v>31</v>
      </c>
      <c r="I190" s="293">
        <f ca="1">IF(H190="","",(VLOOKUP($D190,master_food_list,'Master Food List'!R$91,FALSE)))</f>
        <v>280</v>
      </c>
      <c r="J190" s="293">
        <f ca="1">IF(I190="","",(VLOOKUP($D190,master_food_list,'Master Food List'!S$91,FALSE)))</f>
        <v>0</v>
      </c>
      <c r="K190" s="293">
        <f ca="1">IF(J190="","",(VLOOKUP($D190,master_food_list,'Master Food List'!T$91,FALSE)))</f>
        <v>130.52631578947367</v>
      </c>
    </row>
    <row r="191" spans="1:11" customFormat="1" ht="51" x14ac:dyDescent="0.2">
      <c r="A191" s="286">
        <v>26</v>
      </c>
      <c r="B191" s="287" t="s">
        <v>456</v>
      </c>
      <c r="C191" s="287" t="s">
        <v>461</v>
      </c>
      <c r="D191" s="288" t="s">
        <v>414</v>
      </c>
      <c r="E191" s="293">
        <f ca="1">IF(D191="","",(VLOOKUP($D191,master_food_list,'Master Food List'!N$91,FALSE)))</f>
        <v>250</v>
      </c>
      <c r="F191" s="293">
        <f ca="1">IF(E191="","",(VLOOKUP($D191,master_food_list,'Master Food List'!O$91,FALSE)))</f>
        <v>33</v>
      </c>
      <c r="G191" s="293">
        <f ca="1">IF(F191="","",(VLOOKUP($D191,master_food_list,'Master Food List'!P$91,FALSE)))</f>
        <v>4</v>
      </c>
      <c r="H191" s="293">
        <f ca="1">IF(G191="","",(VLOOKUP($D191,master_food_list,'Master Food List'!Q$91,FALSE)))</f>
        <v>12</v>
      </c>
      <c r="I191" s="293">
        <f ca="1">IF(H191="","",(VLOOKUP($D191,master_food_list,'Master Food List'!R$91,FALSE)))</f>
        <v>120</v>
      </c>
      <c r="J191" s="293">
        <f ca="1">IF(I191="","",(VLOOKUP($D191,master_food_list,'Master Food List'!S$91,FALSE)))</f>
        <v>0</v>
      </c>
      <c r="K191" s="293">
        <f ca="1">IF(J191="","",(VLOOKUP($D191,master_food_list,'Master Food List'!T$91,FALSE)))</f>
        <v>134.40860215053763</v>
      </c>
    </row>
    <row r="192" spans="1:11" customFormat="1" ht="51" x14ac:dyDescent="0.2">
      <c r="A192" s="286">
        <v>26</v>
      </c>
      <c r="B192" s="287" t="s">
        <v>456</v>
      </c>
      <c r="C192" s="287" t="s">
        <v>460</v>
      </c>
      <c r="D192" s="289"/>
      <c r="E192" s="293" t="str">
        <f>IF(D192="","",(VLOOKUP($D192,master_food_list,'Master Food List'!N$91,FALSE)))</f>
        <v/>
      </c>
      <c r="F192" s="293" t="str">
        <f>IF(E192="","",(VLOOKUP($D192,master_food_list,'Master Food List'!O$91,FALSE)))</f>
        <v/>
      </c>
      <c r="G192" s="293" t="str">
        <f>IF(F192="","",(VLOOKUP($D192,master_food_list,'Master Food List'!P$91,FALSE)))</f>
        <v/>
      </c>
      <c r="H192" s="293" t="str">
        <f>IF(G192="","",(VLOOKUP($D192,master_food_list,'Master Food List'!Q$91,FALSE)))</f>
        <v/>
      </c>
      <c r="I192" s="293" t="str">
        <f>IF(H192="","",(VLOOKUP($D192,master_food_list,'Master Food List'!R$91,FALSE)))</f>
        <v/>
      </c>
      <c r="J192" s="293" t="str">
        <f>IF(I192="","",(VLOOKUP($D192,master_food_list,'Master Food List'!S$91,FALSE)))</f>
        <v/>
      </c>
      <c r="K192" s="293" t="str">
        <f>IF(J192="","",(VLOOKUP($D192,master_food_list,'Master Food List'!T$91,FALSE)))</f>
        <v/>
      </c>
    </row>
    <row r="193" spans="1:11" customFormat="1" ht="51" x14ac:dyDescent="0.2">
      <c r="A193" s="286">
        <v>26</v>
      </c>
      <c r="B193" s="287" t="s">
        <v>456</v>
      </c>
      <c r="C193" s="287" t="s">
        <v>459</v>
      </c>
      <c r="D193" s="288" t="s">
        <v>327</v>
      </c>
      <c r="E193" s="293">
        <f ca="1">IF(D193="","",(VLOOKUP($D193,master_food_list,'Master Food List'!N$91,FALSE)))</f>
        <v>130</v>
      </c>
      <c r="F193" s="293">
        <f ca="1">IF(E193="","",(VLOOKUP($D193,master_food_list,'Master Food List'!O$91,FALSE)))</f>
        <v>8</v>
      </c>
      <c r="G193" s="293">
        <f ca="1">IF(F193="","",(VLOOKUP($D193,master_food_list,'Master Food List'!P$91,FALSE)))</f>
        <v>7</v>
      </c>
      <c r="H193" s="293">
        <f ca="1">IF(G193="","",(VLOOKUP($D193,master_food_list,'Master Food List'!Q$91,FALSE)))</f>
        <v>8</v>
      </c>
      <c r="I193" s="293">
        <f ca="1">IF(H193="","",(VLOOKUP($D193,master_food_list,'Master Food List'!R$91,FALSE)))</f>
        <v>320</v>
      </c>
      <c r="J193" s="293">
        <f ca="1">IF(I193="","",(VLOOKUP($D193,master_food_list,'Master Food List'!S$91,FALSE)))</f>
        <v>0</v>
      </c>
      <c r="K193" s="293">
        <f ca="1">IF(J193="","",(VLOOKUP($D193,master_food_list,'Master Food List'!T$91,FALSE)))</f>
        <v>99.999999999999986</v>
      </c>
    </row>
    <row r="194" spans="1:11" customFormat="1" ht="51" x14ac:dyDescent="0.2">
      <c r="A194" s="286">
        <v>26</v>
      </c>
      <c r="B194" s="287" t="s">
        <v>456</v>
      </c>
      <c r="C194" s="287" t="s">
        <v>458</v>
      </c>
      <c r="D194" s="289" t="s">
        <v>449</v>
      </c>
      <c r="E194" s="293">
        <f ca="1">IF(D194="","",(VLOOKUP($D194,master_food_list,'Master Food List'!N$91,FALSE)))</f>
        <v>520</v>
      </c>
      <c r="F194" s="293">
        <f ca="1">IF(E194="","",(VLOOKUP($D194,master_food_list,'Master Food List'!O$91,FALSE)))</f>
        <v>104</v>
      </c>
      <c r="G194" s="293">
        <f ca="1">IF(F194="","",(VLOOKUP($D194,master_food_list,'Master Food List'!P$91,FALSE)))</f>
        <v>22</v>
      </c>
      <c r="H194" s="293">
        <f ca="1">IF(G194="","",(VLOOKUP($D194,master_food_list,'Master Food List'!Q$91,FALSE)))</f>
        <v>6</v>
      </c>
      <c r="I194" s="293">
        <f ca="1">IF(H194="","",(VLOOKUP($D194,master_food_list,'Master Food List'!R$91,FALSE)))</f>
        <v>1360</v>
      </c>
      <c r="J194" s="293">
        <f ca="1">IF(I194="","",(VLOOKUP($D194,master_food_list,'Master Food List'!S$91,FALSE)))</f>
        <v>0</v>
      </c>
      <c r="K194" s="293">
        <f ca="1">IF(J194="","",(VLOOKUP($D194,master_food_list,'Master Food List'!T$91,FALSE)))</f>
        <v>92.857142857142861</v>
      </c>
    </row>
    <row r="195" spans="1:11" customFormat="1" ht="51" x14ac:dyDescent="0.2">
      <c r="A195" s="286">
        <v>26</v>
      </c>
      <c r="B195" s="287" t="s">
        <v>456</v>
      </c>
      <c r="C195" s="287" t="s">
        <v>457</v>
      </c>
      <c r="D195" s="289" t="s">
        <v>479</v>
      </c>
      <c r="E195" s="293">
        <f ca="1">IF(D195="","",(VLOOKUP($D195,master_food_list,'Master Food List'!N$91,FALSE)))</f>
        <v>300</v>
      </c>
      <c r="F195" s="293">
        <f ca="1">IF(E195="","",(VLOOKUP($D195,master_food_list,'Master Food List'!O$91,FALSE)))</f>
        <v>10.5</v>
      </c>
      <c r="G195" s="293">
        <f ca="1">IF(F195="","",(VLOOKUP($D195,master_food_list,'Master Food List'!P$91,FALSE)))</f>
        <v>10.5</v>
      </c>
      <c r="H195" s="293">
        <f ca="1">IF(G195="","",(VLOOKUP($D195,master_food_list,'Master Food List'!Q$91,FALSE)))</f>
        <v>25.5</v>
      </c>
      <c r="I195" s="293">
        <f ca="1">IF(H195="","",(VLOOKUP($D195,master_food_list,'Master Food List'!R$91,FALSE)))</f>
        <v>150</v>
      </c>
      <c r="J195" s="293">
        <f ca="1">IF(I195="","",(VLOOKUP($D195,master_food_list,'Master Food List'!S$91,FALSE)))</f>
        <v>0</v>
      </c>
      <c r="K195" s="293">
        <f ca="1">IF(J195="","",(VLOOKUP($D195,master_food_list,'Master Food List'!T$91,FALSE)))</f>
        <v>177.77777777777777</v>
      </c>
    </row>
    <row r="196" spans="1:11" customFormat="1" ht="51" x14ac:dyDescent="0.2">
      <c r="A196" s="286">
        <v>26</v>
      </c>
      <c r="B196" s="287" t="s">
        <v>456</v>
      </c>
      <c r="C196" s="287" t="s">
        <v>455</v>
      </c>
      <c r="D196" s="289" t="s">
        <v>478</v>
      </c>
      <c r="E196" s="293">
        <f ca="1">IF(D196="","",(VLOOKUP($D196,master_food_list,'Master Food List'!N$91,FALSE)))</f>
        <v>540</v>
      </c>
      <c r="F196" s="293">
        <f ca="1">IF(E196="","",(VLOOKUP($D196,master_food_list,'Master Food List'!O$91,FALSE)))</f>
        <v>105</v>
      </c>
      <c r="G196" s="293">
        <f ca="1">IF(F196="","",(VLOOKUP($D196,master_food_list,'Master Food List'!P$91,FALSE)))</f>
        <v>6</v>
      </c>
      <c r="H196" s="293">
        <f ca="1">IF(G196="","",(VLOOKUP($D196,master_food_list,'Master Food List'!Q$91,FALSE)))</f>
        <v>12</v>
      </c>
      <c r="I196" s="293">
        <f ca="1">IF(H196="","",(VLOOKUP($D196,master_food_list,'Master Food List'!R$91,FALSE)))</f>
        <v>240</v>
      </c>
      <c r="J196" s="293">
        <f ca="1">IF(I196="","",(VLOOKUP($D196,master_food_list,'Master Food List'!S$91,FALSE)))</f>
        <v>0</v>
      </c>
      <c r="K196" s="293">
        <f ca="1">IF(J196="","",(VLOOKUP($D196,master_food_list,'Master Food List'!T$91,FALSE)))</f>
        <v>117.64705882352942</v>
      </c>
    </row>
    <row r="197" spans="1:11" customFormat="1" ht="51" x14ac:dyDescent="0.2">
      <c r="A197" s="286">
        <v>27</v>
      </c>
      <c r="B197" s="287" t="s">
        <v>456</v>
      </c>
      <c r="C197" s="287" t="s">
        <v>462</v>
      </c>
      <c r="D197" s="288" t="s">
        <v>480</v>
      </c>
      <c r="E197" s="293">
        <f ca="1">IF(D197="","",(VLOOKUP($D197,master_food_list,'Master Food List'!N$91,FALSE)))</f>
        <v>620</v>
      </c>
      <c r="F197" s="293">
        <f ca="1">IF(E197="","",(VLOOKUP($D197,master_food_list,'Master Food List'!O$91,FALSE)))</f>
        <v>74</v>
      </c>
      <c r="G197" s="293">
        <f ca="1">IF(F197="","",(VLOOKUP($D197,master_food_list,'Master Food List'!P$91,FALSE)))</f>
        <v>16</v>
      </c>
      <c r="H197" s="293">
        <f ca="1">IF(G197="","",(VLOOKUP($D197,master_food_list,'Master Food List'!Q$91,FALSE)))</f>
        <v>31</v>
      </c>
      <c r="I197" s="293">
        <f ca="1">IF(H197="","",(VLOOKUP($D197,master_food_list,'Master Food List'!R$91,FALSE)))</f>
        <v>280</v>
      </c>
      <c r="J197" s="293">
        <f ca="1">IF(I197="","",(VLOOKUP($D197,master_food_list,'Master Food List'!S$91,FALSE)))</f>
        <v>0</v>
      </c>
      <c r="K197" s="293">
        <f ca="1">IF(J197="","",(VLOOKUP($D197,master_food_list,'Master Food List'!T$91,FALSE)))</f>
        <v>130.52631578947367</v>
      </c>
    </row>
    <row r="198" spans="1:11" customFormat="1" ht="51" x14ac:dyDescent="0.2">
      <c r="A198" s="286">
        <v>27</v>
      </c>
      <c r="B198" s="287" t="s">
        <v>456</v>
      </c>
      <c r="C198" s="287" t="s">
        <v>461</v>
      </c>
      <c r="D198" s="288" t="s">
        <v>430</v>
      </c>
      <c r="E198" s="293">
        <f ca="1">IF(D198="","",(VLOOKUP($D198,master_food_list,'Master Food List'!N$91,FALSE)))</f>
        <v>510</v>
      </c>
      <c r="F198" s="293">
        <f ca="1">IF(E198="","",(VLOOKUP($D198,master_food_list,'Master Food List'!O$91,FALSE)))</f>
        <v>42</v>
      </c>
      <c r="G198" s="293">
        <f ca="1">IF(F198="","",(VLOOKUP($D198,master_food_list,'Master Food List'!P$91,FALSE)))</f>
        <v>10.5</v>
      </c>
      <c r="H198" s="293">
        <f ca="1">IF(G198="","",(VLOOKUP($D198,master_food_list,'Master Food List'!Q$91,FALSE)))</f>
        <v>33</v>
      </c>
      <c r="I198" s="293">
        <f ca="1">IF(H198="","",(VLOOKUP($D198,master_food_list,'Master Food List'!R$91,FALSE)))</f>
        <v>75</v>
      </c>
      <c r="J198" s="293">
        <f ca="1">IF(I198="","",(VLOOKUP($D198,master_food_list,'Master Food List'!S$91,FALSE)))</f>
        <v>0</v>
      </c>
      <c r="K198" s="293">
        <f ca="1">IF(J198="","",(VLOOKUP($D198,master_food_list,'Master Food List'!T$91,FALSE)))</f>
        <v>170</v>
      </c>
    </row>
    <row r="199" spans="1:11" customFormat="1" ht="51" x14ac:dyDescent="0.2">
      <c r="A199" s="286">
        <v>27</v>
      </c>
      <c r="B199" s="287" t="s">
        <v>456</v>
      </c>
      <c r="C199" s="287" t="s">
        <v>460</v>
      </c>
      <c r="D199" s="289"/>
      <c r="E199" s="293" t="str">
        <f>IF(D199="","",(VLOOKUP($D199,master_food_list,'Master Food List'!N$91,FALSE)))</f>
        <v/>
      </c>
      <c r="F199" s="293" t="str">
        <f>IF(E199="","",(VLOOKUP($D199,master_food_list,'Master Food List'!O$91,FALSE)))</f>
        <v/>
      </c>
      <c r="G199" s="293" t="str">
        <f>IF(F199="","",(VLOOKUP($D199,master_food_list,'Master Food List'!P$91,FALSE)))</f>
        <v/>
      </c>
      <c r="H199" s="293" t="str">
        <f>IF(G199="","",(VLOOKUP($D199,master_food_list,'Master Food List'!Q$91,FALSE)))</f>
        <v/>
      </c>
      <c r="I199" s="293" t="str">
        <f>IF(H199="","",(VLOOKUP($D199,master_food_list,'Master Food List'!R$91,FALSE)))</f>
        <v/>
      </c>
      <c r="J199" s="293" t="str">
        <f>IF(I199="","",(VLOOKUP($D199,master_food_list,'Master Food List'!S$91,FALSE)))</f>
        <v/>
      </c>
      <c r="K199" s="293" t="str">
        <f>IF(J199="","",(VLOOKUP($D199,master_food_list,'Master Food List'!T$91,FALSE)))</f>
        <v/>
      </c>
    </row>
    <row r="200" spans="1:11" customFormat="1" ht="51" x14ac:dyDescent="0.2">
      <c r="A200" s="286">
        <v>27</v>
      </c>
      <c r="B200" s="287" t="s">
        <v>456</v>
      </c>
      <c r="C200" s="287" t="s">
        <v>459</v>
      </c>
      <c r="D200" s="288" t="s">
        <v>325</v>
      </c>
      <c r="E200" s="293">
        <f ca="1">IF(D200="","",(VLOOKUP($D200,master_food_list,'Master Food List'!N$91,FALSE)))</f>
        <v>130</v>
      </c>
      <c r="F200" s="293">
        <f ca="1">IF(E200="","",(VLOOKUP($D200,master_food_list,'Master Food List'!O$91,FALSE)))</f>
        <v>12</v>
      </c>
      <c r="G200" s="293">
        <f ca="1">IF(F200="","",(VLOOKUP($D200,master_food_list,'Master Food List'!P$91,FALSE)))</f>
        <v>8</v>
      </c>
      <c r="H200" s="293">
        <f ca="1">IF(G200="","",(VLOOKUP($D200,master_food_list,'Master Food List'!Q$91,FALSE)))</f>
        <v>6</v>
      </c>
      <c r="I200" s="293">
        <f ca="1">IF(H200="","",(VLOOKUP($D200,master_food_list,'Master Food List'!R$91,FALSE)))</f>
        <v>290</v>
      </c>
      <c r="J200" s="293">
        <f ca="1">IF(I200="","",(VLOOKUP($D200,master_food_list,'Master Food List'!S$91,FALSE)))</f>
        <v>0</v>
      </c>
      <c r="K200" s="293">
        <f ca="1">IF(J200="","",(VLOOKUP($D200,master_food_list,'Master Food List'!T$91,FALSE)))</f>
        <v>99.999999999999986</v>
      </c>
    </row>
    <row r="201" spans="1:11" customFormat="1" ht="51" x14ac:dyDescent="0.2">
      <c r="A201" s="286">
        <v>27</v>
      </c>
      <c r="B201" s="287" t="s">
        <v>456</v>
      </c>
      <c r="C201" s="287" t="s">
        <v>458</v>
      </c>
      <c r="D201" s="289" t="s">
        <v>445</v>
      </c>
      <c r="E201" s="293">
        <f ca="1">IF(D201="","",(VLOOKUP($D201,master_food_list,'Master Food List'!N$91,FALSE)))</f>
        <v>580</v>
      </c>
      <c r="F201" s="293">
        <f ca="1">IF(E201="","",(VLOOKUP($D201,master_food_list,'Master Food List'!O$91,FALSE)))</f>
        <v>84</v>
      </c>
      <c r="G201" s="293">
        <f ca="1">IF(F201="","",(VLOOKUP($D201,master_food_list,'Master Food List'!P$91,FALSE)))</f>
        <v>50</v>
      </c>
      <c r="H201" s="293">
        <f ca="1">IF(G201="","",(VLOOKUP($D201,master_food_list,'Master Food List'!Q$91,FALSE)))</f>
        <v>10</v>
      </c>
      <c r="I201" s="293">
        <f ca="1">IF(H201="","",(VLOOKUP($D201,master_food_list,'Master Food List'!R$91,FALSE)))</f>
        <v>1500</v>
      </c>
      <c r="J201" s="293">
        <f ca="1">IF(I201="","",(VLOOKUP($D201,master_food_list,'Master Food List'!S$91,FALSE)))</f>
        <v>0</v>
      </c>
      <c r="K201" s="293">
        <f ca="1">IF(J201="","",(VLOOKUP($D201,master_food_list,'Master Food List'!T$91,FALSE)))</f>
        <v>96.666666666666671</v>
      </c>
    </row>
    <row r="202" spans="1:11" customFormat="1" ht="51" x14ac:dyDescent="0.2">
      <c r="A202" s="286">
        <v>27</v>
      </c>
      <c r="B202" s="287" t="s">
        <v>456</v>
      </c>
      <c r="C202" s="287" t="s">
        <v>457</v>
      </c>
      <c r="D202" s="289" t="s">
        <v>479</v>
      </c>
      <c r="E202" s="293">
        <f ca="1">IF(D202="","",(VLOOKUP($D202,master_food_list,'Master Food List'!N$91,FALSE)))</f>
        <v>300</v>
      </c>
      <c r="F202" s="293">
        <f ca="1">IF(E202="","",(VLOOKUP($D202,master_food_list,'Master Food List'!O$91,FALSE)))</f>
        <v>10.5</v>
      </c>
      <c r="G202" s="293">
        <f ca="1">IF(F202="","",(VLOOKUP($D202,master_food_list,'Master Food List'!P$91,FALSE)))</f>
        <v>10.5</v>
      </c>
      <c r="H202" s="293">
        <f ca="1">IF(G202="","",(VLOOKUP($D202,master_food_list,'Master Food List'!Q$91,FALSE)))</f>
        <v>25.5</v>
      </c>
      <c r="I202" s="293">
        <f ca="1">IF(H202="","",(VLOOKUP($D202,master_food_list,'Master Food List'!R$91,FALSE)))</f>
        <v>150</v>
      </c>
      <c r="J202" s="293">
        <f ca="1">IF(I202="","",(VLOOKUP($D202,master_food_list,'Master Food List'!S$91,FALSE)))</f>
        <v>0</v>
      </c>
      <c r="K202" s="293">
        <f ca="1">IF(J202="","",(VLOOKUP($D202,master_food_list,'Master Food List'!T$91,FALSE)))</f>
        <v>177.77777777777777</v>
      </c>
    </row>
    <row r="203" spans="1:11" customFormat="1" ht="51" x14ac:dyDescent="0.2">
      <c r="A203" s="286">
        <v>27</v>
      </c>
      <c r="B203" s="287" t="s">
        <v>456</v>
      </c>
      <c r="C203" s="287" t="s">
        <v>455</v>
      </c>
      <c r="D203" s="289" t="s">
        <v>483</v>
      </c>
      <c r="E203" s="293">
        <f ca="1">IF(D203="","",(VLOOKUP($D203,master_food_list,'Master Food List'!N$91,FALSE)))</f>
        <v>200</v>
      </c>
      <c r="F203" s="293">
        <f ca="1">IF(E203="","",(VLOOKUP($D203,master_food_list,'Master Food List'!O$91,FALSE)))</f>
        <v>31</v>
      </c>
      <c r="G203" s="293">
        <f ca="1">IF(F203="","",(VLOOKUP($D203,master_food_list,'Master Food List'!P$91,FALSE)))</f>
        <v>2</v>
      </c>
      <c r="H203" s="293">
        <f ca="1">IF(G203="","",(VLOOKUP($D203,master_food_list,'Master Food List'!Q$91,FALSE)))</f>
        <v>8</v>
      </c>
      <c r="I203" s="293">
        <f ca="1">IF(H203="","",(VLOOKUP($D203,master_food_list,'Master Food List'!R$91,FALSE)))</f>
        <v>30</v>
      </c>
      <c r="J203" s="293">
        <f ca="1">IF(I203="","",(VLOOKUP($D203,master_food_list,'Master Food List'!S$91,FALSE)))</f>
        <v>0</v>
      </c>
      <c r="K203" s="293">
        <f ca="1">IF(J203="","",(VLOOKUP($D203,master_food_list,'Master Food List'!T$91,FALSE)))</f>
        <v>133.33333333333334</v>
      </c>
    </row>
    <row r="204" spans="1:11" customFormat="1" ht="51" x14ac:dyDescent="0.2">
      <c r="A204" s="286">
        <v>28</v>
      </c>
      <c r="B204" s="287" t="s">
        <v>456</v>
      </c>
      <c r="C204" s="287" t="s">
        <v>462</v>
      </c>
      <c r="D204" s="288" t="s">
        <v>485</v>
      </c>
      <c r="E204" s="293">
        <f ca="1">IF(D204="","",(VLOOKUP($D204,master_food_list,'Master Food List'!N$91,FALSE)))</f>
        <v>500</v>
      </c>
      <c r="F204" s="293">
        <f ca="1">IF(E204="","",(VLOOKUP($D204,master_food_list,'Master Food List'!O$91,FALSE)))</f>
        <v>74</v>
      </c>
      <c r="G204" s="293">
        <f ca="1">IF(F204="","",(VLOOKUP($D204,master_food_list,'Master Food List'!P$91,FALSE)))</f>
        <v>16</v>
      </c>
      <c r="H204" s="293">
        <f ca="1">IF(G204="","",(VLOOKUP($D204,master_food_list,'Master Food List'!Q$91,FALSE)))</f>
        <v>18</v>
      </c>
      <c r="I204" s="293">
        <f ca="1">IF(H204="","",(VLOOKUP($D204,master_food_list,'Master Food List'!R$91,FALSE)))</f>
        <v>130</v>
      </c>
      <c r="J204" s="293">
        <f ca="1">IF(I204="","",(VLOOKUP($D204,master_food_list,'Master Food List'!S$91,FALSE)))</f>
        <v>0</v>
      </c>
      <c r="K204" s="293">
        <f ca="1">IF(J204="","",(VLOOKUP($D204,master_food_list,'Master Food List'!T$91,FALSE)))</f>
        <v>126.55024044545685</v>
      </c>
    </row>
    <row r="205" spans="1:11" customFormat="1" ht="51" x14ac:dyDescent="0.2">
      <c r="A205" s="286">
        <v>28</v>
      </c>
      <c r="B205" s="287" t="s">
        <v>456</v>
      </c>
      <c r="C205" s="287" t="s">
        <v>461</v>
      </c>
      <c r="D205" s="288" t="s">
        <v>354</v>
      </c>
      <c r="E205" s="293">
        <f ca="1">IF(D205="","",(VLOOKUP($D205,master_food_list,'Master Food List'!N$91,FALSE)))</f>
        <v>270</v>
      </c>
      <c r="F205" s="293">
        <f ca="1">IF(E205="","",(VLOOKUP($D205,master_food_list,'Master Food List'!O$91,FALSE)))</f>
        <v>72</v>
      </c>
      <c r="G205" s="293">
        <f ca="1">IF(F205="","",(VLOOKUP($D205,master_food_list,'Master Food List'!P$91,FALSE)))</f>
        <v>3</v>
      </c>
      <c r="H205" s="293">
        <f ca="1">IF(G205="","",(VLOOKUP($D205,master_food_list,'Master Food List'!Q$91,FALSE)))</f>
        <v>0</v>
      </c>
      <c r="I205" s="293">
        <f ca="1">IF(H205="","",(VLOOKUP($D205,master_food_list,'Master Food List'!R$91,FALSE)))</f>
        <v>0</v>
      </c>
      <c r="J205" s="293">
        <f ca="1">IF(I205="","",(VLOOKUP($D205,master_food_list,'Master Food List'!S$91,FALSE)))</f>
        <v>0</v>
      </c>
      <c r="K205" s="293">
        <f ca="1">IF(J205="","",(VLOOKUP($D205,master_food_list,'Master Food List'!T$91,FALSE)))</f>
        <v>112.5</v>
      </c>
    </row>
    <row r="206" spans="1:11" customFormat="1" ht="51" x14ac:dyDescent="0.2">
      <c r="A206" s="286">
        <v>28</v>
      </c>
      <c r="B206" s="287" t="s">
        <v>456</v>
      </c>
      <c r="C206" s="287" t="s">
        <v>460</v>
      </c>
      <c r="D206" s="289"/>
      <c r="E206" s="293" t="str">
        <f>IF(D206="","",(VLOOKUP($D206,master_food_list,'Master Food List'!N$91,FALSE)))</f>
        <v/>
      </c>
      <c r="F206" s="293" t="str">
        <f>IF(E206="","",(VLOOKUP($D206,master_food_list,'Master Food List'!O$91,FALSE)))</f>
        <v/>
      </c>
      <c r="G206" s="293" t="str">
        <f>IF(F206="","",(VLOOKUP($D206,master_food_list,'Master Food List'!P$91,FALSE)))</f>
        <v/>
      </c>
      <c r="H206" s="293" t="str">
        <f>IF(G206="","",(VLOOKUP($D206,master_food_list,'Master Food List'!Q$91,FALSE)))</f>
        <v/>
      </c>
      <c r="I206" s="293" t="str">
        <f>IF(H206="","",(VLOOKUP($D206,master_food_list,'Master Food List'!R$91,FALSE)))</f>
        <v/>
      </c>
      <c r="J206" s="293" t="str">
        <f>IF(I206="","",(VLOOKUP($D206,master_food_list,'Master Food List'!S$91,FALSE)))</f>
        <v/>
      </c>
      <c r="K206" s="293" t="str">
        <f>IF(J206="","",(VLOOKUP($D206,master_food_list,'Master Food List'!T$91,FALSE)))</f>
        <v/>
      </c>
    </row>
    <row r="207" spans="1:11" customFormat="1" ht="51" x14ac:dyDescent="0.2">
      <c r="A207" s="286">
        <v>28</v>
      </c>
      <c r="B207" s="287" t="s">
        <v>456</v>
      </c>
      <c r="C207" s="287" t="s">
        <v>459</v>
      </c>
      <c r="D207" s="288" t="s">
        <v>522</v>
      </c>
      <c r="E207" s="293">
        <f ca="1">IF(D207="","",(VLOOKUP($D207,master_food_list,'Master Food List'!N$91,FALSE)))</f>
        <v>300</v>
      </c>
      <c r="F207" s="293">
        <f ca="1">IF(E207="","",(VLOOKUP($D207,master_food_list,'Master Food List'!O$91,FALSE)))</f>
        <v>26</v>
      </c>
      <c r="G207" s="293">
        <f ca="1">IF(F207="","",(VLOOKUP($D207,master_food_list,'Master Food List'!P$91,FALSE)))</f>
        <v>4</v>
      </c>
      <c r="H207" s="293">
        <f ca="1">IF(G207="","",(VLOOKUP($D207,master_food_list,'Master Food List'!Q$91,FALSE)))</f>
        <v>20</v>
      </c>
      <c r="I207" s="293">
        <f ca="1">IF(H207="","",(VLOOKUP($D207,master_food_list,'Master Food List'!R$91,FALSE)))</f>
        <v>500</v>
      </c>
      <c r="J207" s="293">
        <f ca="1">IF(I207="","",(VLOOKUP($D207,master_food_list,'Master Food List'!S$91,FALSE)))</f>
        <v>0</v>
      </c>
      <c r="K207" s="293">
        <f ca="1">IF(J207="","",(VLOOKUP($D207,master_food_list,'Master Food List'!T$91,FALSE)))</f>
        <v>154.28571428571428</v>
      </c>
    </row>
    <row r="208" spans="1:11" customFormat="1" ht="51" x14ac:dyDescent="0.2">
      <c r="A208" s="286">
        <v>28</v>
      </c>
      <c r="B208" s="287" t="s">
        <v>456</v>
      </c>
      <c r="C208" s="287" t="s">
        <v>458</v>
      </c>
      <c r="D208" s="289" t="s">
        <v>493</v>
      </c>
      <c r="E208" s="293">
        <f ca="1">IF(D208="","",(VLOOKUP($D208,master_food_list,'Master Food List'!N$91,FALSE)))</f>
        <v>1000</v>
      </c>
      <c r="F208" s="293">
        <f ca="1">IF(E208="","",(VLOOKUP($D208,master_food_list,'Master Food List'!O$91,FALSE)))</f>
        <v>112</v>
      </c>
      <c r="G208" s="293">
        <f ca="1">IF(F208="","",(VLOOKUP($D208,master_food_list,'Master Food List'!P$91,FALSE)))</f>
        <v>40</v>
      </c>
      <c r="H208" s="293">
        <f ca="1">IF(G208="","",(VLOOKUP($D208,master_food_list,'Master Food List'!Q$91,FALSE)))</f>
        <v>52</v>
      </c>
      <c r="I208" s="293">
        <f ca="1">IF(H208="","",(VLOOKUP($D208,master_food_list,'Master Food List'!R$91,FALSE)))</f>
        <v>460</v>
      </c>
      <c r="J208" s="293">
        <f ca="1">IF(I208="","",(VLOOKUP($D208,master_food_list,'Master Food List'!S$91,FALSE)))</f>
        <v>0</v>
      </c>
      <c r="K208" s="293">
        <f ca="1">IF(J208="","",(VLOOKUP($D208,master_food_list,'Master Food List'!T$91,FALSE)))</f>
        <v>123.4567901234568</v>
      </c>
    </row>
    <row r="209" spans="1:11" customFormat="1" ht="51" x14ac:dyDescent="0.2">
      <c r="A209" s="286">
        <v>28</v>
      </c>
      <c r="B209" s="287" t="s">
        <v>456</v>
      </c>
      <c r="C209" s="287" t="s">
        <v>457</v>
      </c>
      <c r="D209" s="289" t="s">
        <v>479</v>
      </c>
      <c r="E209" s="293">
        <f ca="1">IF(D209="","",(VLOOKUP($D209,master_food_list,'Master Food List'!N$91,FALSE)))</f>
        <v>300</v>
      </c>
      <c r="F209" s="293">
        <f ca="1">IF(E209="","",(VLOOKUP($D209,master_food_list,'Master Food List'!O$91,FALSE)))</f>
        <v>10.5</v>
      </c>
      <c r="G209" s="293">
        <f ca="1">IF(F209="","",(VLOOKUP($D209,master_food_list,'Master Food List'!P$91,FALSE)))</f>
        <v>10.5</v>
      </c>
      <c r="H209" s="293">
        <f ca="1">IF(G209="","",(VLOOKUP($D209,master_food_list,'Master Food List'!Q$91,FALSE)))</f>
        <v>25.5</v>
      </c>
      <c r="I209" s="293">
        <f ca="1">IF(H209="","",(VLOOKUP($D209,master_food_list,'Master Food List'!R$91,FALSE)))</f>
        <v>150</v>
      </c>
      <c r="J209" s="293">
        <f ca="1">IF(I209="","",(VLOOKUP($D209,master_food_list,'Master Food List'!S$91,FALSE)))</f>
        <v>0</v>
      </c>
      <c r="K209" s="293">
        <f ca="1">IF(J209="","",(VLOOKUP($D209,master_food_list,'Master Food List'!T$91,FALSE)))</f>
        <v>177.77777777777777</v>
      </c>
    </row>
    <row r="210" spans="1:11" customFormat="1" ht="51" x14ac:dyDescent="0.2">
      <c r="A210" s="286">
        <v>28</v>
      </c>
      <c r="B210" s="287" t="s">
        <v>456</v>
      </c>
      <c r="C210" s="287" t="s">
        <v>455</v>
      </c>
      <c r="D210" s="289" t="s">
        <v>482</v>
      </c>
      <c r="E210" s="293">
        <f ca="1">IF(D210="","",(VLOOKUP($D210,master_food_list,'Master Food List'!N$91,FALSE)))</f>
        <v>110</v>
      </c>
      <c r="F210" s="293">
        <f ca="1">IF(E210="","",(VLOOKUP($D210,master_food_list,'Master Food List'!O$91,FALSE)))</f>
        <v>21</v>
      </c>
      <c r="G210" s="293">
        <f ca="1">IF(F210="","",(VLOOKUP($D210,master_food_list,'Master Food List'!P$91,FALSE)))</f>
        <v>1</v>
      </c>
      <c r="H210" s="293">
        <f ca="1">IF(G210="","",(VLOOKUP($D210,master_food_list,'Master Food List'!Q$91,FALSE)))</f>
        <v>2</v>
      </c>
      <c r="I210" s="293">
        <f ca="1">IF(H210="","",(VLOOKUP($D210,master_food_list,'Master Food List'!R$91,FALSE)))</f>
        <v>150</v>
      </c>
      <c r="J210" s="293">
        <f ca="1">IF(I210="","",(VLOOKUP($D210,master_food_list,'Master Food List'!S$91,FALSE)))</f>
        <v>0</v>
      </c>
      <c r="K210" s="293">
        <f ca="1">IF(J210="","",(VLOOKUP($D210,master_food_list,'Master Food List'!T$91,FALSE)))</f>
        <v>118.27956989247312</v>
      </c>
    </row>
    <row r="211" spans="1:11" customFormat="1" ht="51" x14ac:dyDescent="0.2">
      <c r="A211" s="286">
        <v>29</v>
      </c>
      <c r="B211" s="287" t="s">
        <v>456</v>
      </c>
      <c r="C211" s="287" t="s">
        <v>462</v>
      </c>
      <c r="D211" s="288" t="s">
        <v>481</v>
      </c>
      <c r="E211" s="293">
        <f ca="1">IF(D211="","",(VLOOKUP($D211,master_food_list,'Master Food List'!N$91,FALSE)))</f>
        <v>400</v>
      </c>
      <c r="F211" s="293">
        <f ca="1">IF(E211="","",(VLOOKUP($D211,master_food_list,'Master Food List'!O$91,FALSE)))</f>
        <v>72</v>
      </c>
      <c r="G211" s="293">
        <f ca="1">IF(F211="","",(VLOOKUP($D211,master_food_list,'Master Food List'!P$91,FALSE)))</f>
        <v>6</v>
      </c>
      <c r="H211" s="293">
        <f ca="1">IF(G211="","",(VLOOKUP($D211,master_food_list,'Master Food List'!Q$91,FALSE)))</f>
        <v>10</v>
      </c>
      <c r="I211" s="293">
        <f ca="1">IF(H211="","",(VLOOKUP($D211,master_food_list,'Master Food List'!R$91,FALSE)))</f>
        <v>420</v>
      </c>
      <c r="J211" s="293">
        <f ca="1">IF(I211="","",(VLOOKUP($D211,master_food_list,'Master Food List'!S$91,FALSE)))</f>
        <v>0</v>
      </c>
      <c r="K211" s="293">
        <f ca="1">IF(J211="","",(VLOOKUP($D211,master_food_list,'Master Food List'!T$91,FALSE)))</f>
        <v>109.09090909090909</v>
      </c>
    </row>
    <row r="212" spans="1:11" customFormat="1" ht="51" x14ac:dyDescent="0.2">
      <c r="A212" s="286">
        <v>29</v>
      </c>
      <c r="B212" s="287" t="s">
        <v>456</v>
      </c>
      <c r="C212" s="287" t="s">
        <v>461</v>
      </c>
      <c r="D212" s="288" t="s">
        <v>433</v>
      </c>
      <c r="E212" s="293">
        <f ca="1">IF(D212="","",(VLOOKUP($D212,master_food_list,'Master Food List'!N$91,FALSE)))</f>
        <v>280</v>
      </c>
      <c r="F212" s="293">
        <f ca="1">IF(E212="","",(VLOOKUP($D212,master_food_list,'Master Food List'!O$91,FALSE)))</f>
        <v>34</v>
      </c>
      <c r="G212" s="293">
        <f ca="1">IF(F212="","",(VLOOKUP($D212,master_food_list,'Master Food List'!P$91,FALSE)))</f>
        <v>2</v>
      </c>
      <c r="H212" s="293">
        <f ca="1">IF(G212="","",(VLOOKUP($D212,master_food_list,'Master Food List'!Q$91,FALSE)))</f>
        <v>17</v>
      </c>
      <c r="I212" s="293">
        <f ca="1">IF(H212="","",(VLOOKUP($D212,master_food_list,'Master Food List'!R$91,FALSE)))</f>
        <v>0</v>
      </c>
      <c r="J212" s="293">
        <f ca="1">IF(I212="","",(VLOOKUP($D212,master_food_list,'Master Food List'!S$91,FALSE)))</f>
        <v>0</v>
      </c>
      <c r="K212" s="293">
        <f ca="1">IF(J212="","",(VLOOKUP($D212,master_food_list,'Master Food List'!T$91,FALSE)))</f>
        <v>140</v>
      </c>
    </row>
    <row r="213" spans="1:11" customFormat="1" ht="51" x14ac:dyDescent="0.2">
      <c r="A213" s="286">
        <v>29</v>
      </c>
      <c r="B213" s="287" t="s">
        <v>456</v>
      </c>
      <c r="C213" s="287" t="s">
        <v>460</v>
      </c>
      <c r="D213" s="289"/>
      <c r="E213" s="293" t="str">
        <f>IF(D213="","",(VLOOKUP($D213,master_food_list,'Master Food List'!N$91,FALSE)))</f>
        <v/>
      </c>
      <c r="F213" s="293" t="str">
        <f>IF(E213="","",(VLOOKUP($D213,master_food_list,'Master Food List'!O$91,FALSE)))</f>
        <v/>
      </c>
      <c r="G213" s="293" t="str">
        <f>IF(F213="","",(VLOOKUP($D213,master_food_list,'Master Food List'!P$91,FALSE)))</f>
        <v/>
      </c>
      <c r="H213" s="293" t="str">
        <f>IF(G213="","",(VLOOKUP($D213,master_food_list,'Master Food List'!Q$91,FALSE)))</f>
        <v/>
      </c>
      <c r="I213" s="293" t="str">
        <f>IF(H213="","",(VLOOKUP($D213,master_food_list,'Master Food List'!R$91,FALSE)))</f>
        <v/>
      </c>
      <c r="J213" s="293" t="str">
        <f>IF(I213="","",(VLOOKUP($D213,master_food_list,'Master Food List'!S$91,FALSE)))</f>
        <v/>
      </c>
      <c r="K213" s="293" t="str">
        <f>IF(J213="","",(VLOOKUP($D213,master_food_list,'Master Food List'!T$91,FALSE)))</f>
        <v/>
      </c>
    </row>
    <row r="214" spans="1:11" customFormat="1" ht="51" x14ac:dyDescent="0.2">
      <c r="A214" s="286">
        <v>29</v>
      </c>
      <c r="B214" s="287" t="s">
        <v>456</v>
      </c>
      <c r="C214" s="287" t="s">
        <v>459</v>
      </c>
      <c r="D214" s="288" t="s">
        <v>490</v>
      </c>
      <c r="E214" s="293">
        <f ca="1">IF(D214="","",(VLOOKUP($D214,master_food_list,'Master Food List'!N$91,FALSE)))</f>
        <v>225</v>
      </c>
      <c r="F214" s="293">
        <f ca="1">IF(E214="","",(VLOOKUP($D214,master_food_list,'Master Food List'!O$91,FALSE)))</f>
        <v>30</v>
      </c>
      <c r="G214" s="293">
        <f ca="1">IF(F214="","",(VLOOKUP($D214,master_food_list,'Master Food List'!P$91,FALSE)))</f>
        <v>20</v>
      </c>
      <c r="H214" s="293">
        <f ca="1">IF(G214="","",(VLOOKUP($D214,master_food_list,'Master Food List'!Q$91,FALSE)))</f>
        <v>3.75</v>
      </c>
      <c r="I214" s="293">
        <f ca="1">IF(H214="","",(VLOOKUP($D214,master_food_list,'Master Food List'!R$91,FALSE)))</f>
        <v>875</v>
      </c>
      <c r="J214" s="293">
        <f ca="1">IF(I214="","",(VLOOKUP($D214,master_food_list,'Master Food List'!S$91,FALSE)))</f>
        <v>0</v>
      </c>
      <c r="K214" s="293">
        <f ca="1">IF(J214="","",(VLOOKUP($D214,master_food_list,'Master Food List'!T$91,FALSE)))</f>
        <v>83.333333333333329</v>
      </c>
    </row>
    <row r="215" spans="1:11" customFormat="1" ht="51" x14ac:dyDescent="0.2">
      <c r="A215" s="286">
        <v>29</v>
      </c>
      <c r="B215" s="287" t="s">
        <v>456</v>
      </c>
      <c r="C215" s="287" t="s">
        <v>458</v>
      </c>
      <c r="D215" s="289" t="s">
        <v>504</v>
      </c>
      <c r="E215" s="293">
        <f ca="1">IF(D215="","",(VLOOKUP($D215,master_food_list,'Master Food List'!N$91,FALSE)))</f>
        <v>860</v>
      </c>
      <c r="F215" s="293">
        <f ca="1">IF(E215="","",(VLOOKUP($D215,master_food_list,'Master Food List'!O$91,FALSE)))</f>
        <v>112</v>
      </c>
      <c r="G215" s="293">
        <f ca="1">IF(F215="","",(VLOOKUP($D215,master_food_list,'Master Food List'!P$91,FALSE)))</f>
        <v>38</v>
      </c>
      <c r="H215" s="293">
        <f ca="1">IF(G215="","",(VLOOKUP($D215,master_food_list,'Master Food List'!Q$91,FALSE)))</f>
        <v>28</v>
      </c>
      <c r="I215" s="293">
        <f ca="1">IF(H215="","",(VLOOKUP($D215,master_food_list,'Master Food List'!R$91,FALSE)))</f>
        <v>1220</v>
      </c>
      <c r="J215" s="293">
        <f ca="1">IF(I215="","",(VLOOKUP($D215,master_food_list,'Master Food List'!S$91,FALSE)))</f>
        <v>0</v>
      </c>
      <c r="K215" s="293">
        <f ca="1">IF(J215="","",(VLOOKUP($D215,master_food_list,'Master Food List'!T$91,FALSE)))</f>
        <v>121.12676056338029</v>
      </c>
    </row>
    <row r="216" spans="1:11" customFormat="1" ht="51" x14ac:dyDescent="0.2">
      <c r="A216" s="286">
        <v>29</v>
      </c>
      <c r="B216" s="287" t="s">
        <v>456</v>
      </c>
      <c r="C216" s="287" t="s">
        <v>457</v>
      </c>
      <c r="D216" s="289" t="s">
        <v>479</v>
      </c>
      <c r="E216" s="293">
        <f ca="1">IF(D216="","",(VLOOKUP($D216,master_food_list,'Master Food List'!N$91,FALSE)))</f>
        <v>300</v>
      </c>
      <c r="F216" s="293">
        <f ca="1">IF(E216="","",(VLOOKUP($D216,master_food_list,'Master Food List'!O$91,FALSE)))</f>
        <v>10.5</v>
      </c>
      <c r="G216" s="293">
        <f ca="1">IF(F216="","",(VLOOKUP($D216,master_food_list,'Master Food List'!P$91,FALSE)))</f>
        <v>10.5</v>
      </c>
      <c r="H216" s="293">
        <f ca="1">IF(G216="","",(VLOOKUP($D216,master_food_list,'Master Food List'!Q$91,FALSE)))</f>
        <v>25.5</v>
      </c>
      <c r="I216" s="293">
        <f ca="1">IF(H216="","",(VLOOKUP($D216,master_food_list,'Master Food List'!R$91,FALSE)))</f>
        <v>150</v>
      </c>
      <c r="J216" s="293">
        <f ca="1">IF(I216="","",(VLOOKUP($D216,master_food_list,'Master Food List'!S$91,FALSE)))</f>
        <v>0</v>
      </c>
      <c r="K216" s="293">
        <f ca="1">IF(J216="","",(VLOOKUP($D216,master_food_list,'Master Food List'!T$91,FALSE)))</f>
        <v>177.77777777777777</v>
      </c>
    </row>
    <row r="217" spans="1:11" customFormat="1" ht="51" x14ac:dyDescent="0.2">
      <c r="A217" s="286">
        <v>29</v>
      </c>
      <c r="B217" s="287" t="s">
        <v>456</v>
      </c>
      <c r="C217" s="287" t="s">
        <v>455</v>
      </c>
      <c r="D217" s="289" t="s">
        <v>484</v>
      </c>
      <c r="E217" s="293">
        <f ca="1">IF(D217="","",(VLOOKUP($D217,master_food_list,'Master Food List'!N$91,FALSE)))</f>
        <v>540</v>
      </c>
      <c r="F217" s="293">
        <f ca="1">IF(E217="","",(VLOOKUP($D217,master_food_list,'Master Food List'!O$91,FALSE)))</f>
        <v>72</v>
      </c>
      <c r="G217" s="293">
        <f ca="1">IF(F217="","",(VLOOKUP($D217,master_food_list,'Master Food List'!P$91,FALSE)))</f>
        <v>14</v>
      </c>
      <c r="H217" s="293">
        <f ca="1">IF(G217="","",(VLOOKUP($D217,master_food_list,'Master Food List'!Q$91,FALSE)))</f>
        <v>22</v>
      </c>
      <c r="I217" s="293">
        <f ca="1">IF(H217="","",(VLOOKUP($D217,master_food_list,'Master Food List'!R$91,FALSE)))</f>
        <v>780</v>
      </c>
      <c r="J217" s="293">
        <f ca="1">IF(I217="","",(VLOOKUP($D217,master_food_list,'Master Food List'!S$91,FALSE)))</f>
        <v>0</v>
      </c>
      <c r="K217" s="293">
        <f ca="1">IF(J217="","",(VLOOKUP($D217,master_food_list,'Master Food List'!T$91,FALSE)))</f>
        <v>117.39130434782609</v>
      </c>
    </row>
    <row r="218" spans="1:11" ht="34" x14ac:dyDescent="0.2">
      <c r="B218" s="302" t="s">
        <v>708</v>
      </c>
      <c r="C218" s="200">
        <f>(A217+1)-A155</f>
        <v>9</v>
      </c>
    </row>
  </sheetData>
  <mergeCells count="4">
    <mergeCell ref="A2:K2"/>
    <mergeCell ref="D5:E5"/>
    <mergeCell ref="F5:I5"/>
    <mergeCell ref="A1:K1"/>
  </mergeCells>
  <printOptions horizontalCentered="1"/>
  <pageMargins left="0.25" right="0.25" top="0.75" bottom="0.75" header="0.25" footer="0.3"/>
  <pageSetup scale="60" fitToHeight="0" orientation="portrait" horizontalDpi="0" verticalDpi="0"/>
  <headerFooter>
    <oddHeader>&amp;C&amp;"Calibri Bold,Bold"&amp;18&amp;K000000JMT 2018</oddHeader>
  </headerFooter>
  <rowBreaks count="4" manualBreakCount="4">
    <brk id="46" max="16383" man="1"/>
    <brk id="82" max="16383" man="1"/>
    <brk id="111" max="16383" man="1"/>
    <brk id="154" max="16383" man="1"/>
  </rowBreaks>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4AD43F8-C8A3-4F48-B2B3-5E944544AAA5}">
          <x14:formula1>
            <xm:f>'Master Food List'!$A:$A</xm:f>
          </x14:formula1>
          <xm:sqref>D8:D217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E9B00-F1CD-734D-990B-27267C28C3F9}">
  <dimension ref="A1:G57"/>
  <sheetViews>
    <sheetView workbookViewId="0">
      <pane ySplit="2" topLeftCell="A3" activePane="bottomLeft" state="frozen"/>
      <selection pane="bottomLeft" sqref="A1:G1"/>
    </sheetView>
  </sheetViews>
  <sheetFormatPr baseColWidth="10" defaultRowHeight="16" x14ac:dyDescent="0.2"/>
  <cols>
    <col min="1" max="1" width="85.6640625" style="178" bestFit="1" customWidth="1"/>
    <col min="2" max="2" width="9.1640625" bestFit="1" customWidth="1"/>
    <col min="3" max="3" width="17.5" bestFit="1" customWidth="1"/>
    <col min="4" max="4" width="11" bestFit="1" customWidth="1"/>
    <col min="5" max="5" width="7.1640625" bestFit="1" customWidth="1"/>
    <col min="6" max="6" width="13.1640625" bestFit="1" customWidth="1"/>
    <col min="7" max="7" width="11.6640625" bestFit="1" customWidth="1"/>
  </cols>
  <sheetData>
    <row r="1" spans="1:7" ht="80" customHeight="1" x14ac:dyDescent="0.2">
      <c r="A1" s="448" t="s">
        <v>748</v>
      </c>
      <c r="B1" s="448"/>
      <c r="C1" s="448"/>
      <c r="D1" s="448"/>
      <c r="E1" s="448"/>
      <c r="F1" s="448"/>
      <c r="G1" s="448"/>
    </row>
    <row r="2" spans="1:7" x14ac:dyDescent="0.2">
      <c r="A2" s="181" t="s">
        <v>381</v>
      </c>
      <c r="B2" s="157" t="s">
        <v>368</v>
      </c>
      <c r="C2" s="157" t="s">
        <v>367</v>
      </c>
      <c r="D2" s="157" t="s">
        <v>366</v>
      </c>
      <c r="E2" s="157" t="s">
        <v>365</v>
      </c>
      <c r="F2" s="157" t="s">
        <v>364</v>
      </c>
      <c r="G2" s="157" t="s">
        <v>380</v>
      </c>
    </row>
    <row r="3" spans="1:7" x14ac:dyDescent="0.2">
      <c r="A3" s="182"/>
      <c r="B3" s="155"/>
      <c r="C3" s="155"/>
      <c r="D3" s="155"/>
      <c r="E3" s="155"/>
      <c r="F3" s="155"/>
      <c r="G3" s="155"/>
    </row>
    <row r="4" spans="1:7" x14ac:dyDescent="0.2">
      <c r="A4" s="183" t="s">
        <v>496</v>
      </c>
      <c r="B4" s="156"/>
      <c r="C4" s="156"/>
      <c r="D4" s="156"/>
      <c r="E4" s="156"/>
      <c r="F4" s="156"/>
      <c r="G4" s="156"/>
    </row>
    <row r="5" spans="1:7" x14ac:dyDescent="0.2">
      <c r="A5" s="184" t="s">
        <v>247</v>
      </c>
      <c r="B5" s="155">
        <f ca="1">IF($A5="","",(VLOOKUP($A5,master_food_list,'Master Food List'!N$91,FALSE)))</f>
        <v>200</v>
      </c>
      <c r="C5" s="155">
        <f ca="1">IF($A5="","",(VLOOKUP($A5,master_food_list,'Master Food List'!O$91,FALSE)))</f>
        <v>38</v>
      </c>
      <c r="D5" s="155">
        <f ca="1">IF($A5="","",(VLOOKUP($A5,master_food_list,'Master Food List'!P$91,FALSE)))</f>
        <v>8</v>
      </c>
      <c r="E5" s="155">
        <f ca="1">IF($A5="","",(VLOOKUP($A5,master_food_list,'Master Food List'!Q$91,FALSE)))</f>
        <v>4</v>
      </c>
      <c r="F5" s="155">
        <f ca="1">IF($A5="","",(VLOOKUP($A5,master_food_list,'Master Food List'!R$91,FALSE)))</f>
        <v>150</v>
      </c>
      <c r="G5" s="155">
        <f ca="1">IF($A5="","",(VLOOKUP($A5,master_food_list,'Master Food List'!S$91,FALSE)))</f>
        <v>0</v>
      </c>
    </row>
    <row r="6" spans="1:7" x14ac:dyDescent="0.2">
      <c r="A6" s="184" t="s">
        <v>243</v>
      </c>
      <c r="B6" s="155">
        <f ca="1">IF($A6="","",(VLOOKUP($A6,master_food_list,'Master Food List'!N$91,FALSE)))</f>
        <v>120</v>
      </c>
      <c r="C6" s="155">
        <f ca="1">IF($A6="","",(VLOOKUP($A6,master_food_list,'Master Food List'!O$91,FALSE)))</f>
        <v>18</v>
      </c>
      <c r="D6" s="155">
        <f ca="1">IF($A6="","",(VLOOKUP($A6,master_food_list,'Master Food List'!P$91,FALSE)))</f>
        <v>9</v>
      </c>
      <c r="E6" s="155">
        <f ca="1">IF($A6="","",(VLOOKUP($A6,master_food_list,'Master Food List'!Q$91,FALSE)))</f>
        <v>7.5</v>
      </c>
      <c r="F6" s="155">
        <f ca="1">IF($A6="","",(VLOOKUP($A6,master_food_list,'Master Food List'!R$91,FALSE)))</f>
        <v>105</v>
      </c>
      <c r="G6" s="155">
        <f ca="1">IF($A6="","",(VLOOKUP($A6,master_food_list,'Master Food List'!S$91,FALSE)))</f>
        <v>0</v>
      </c>
    </row>
    <row r="7" spans="1:7" x14ac:dyDescent="0.2">
      <c r="A7" s="184" t="s">
        <v>240</v>
      </c>
      <c r="B7" s="155">
        <f ca="1">IF($A7="","",(VLOOKUP($A7,master_food_list,'Master Food List'!N$91,FALSE)))</f>
        <v>39</v>
      </c>
      <c r="C7" s="155">
        <f ca="1">IF($A7="","",(VLOOKUP($A7,master_food_list,'Master Food List'!O$91,FALSE)))</f>
        <v>9.3000000000000007</v>
      </c>
      <c r="D7" s="155">
        <f ca="1">IF($A7="","",(VLOOKUP($A7,master_food_list,'Master Food List'!P$91,FALSE)))</f>
        <v>0.30000000000000004</v>
      </c>
      <c r="E7" s="155">
        <f ca="1">IF($A7="","",(VLOOKUP($A7,master_food_list,'Master Food List'!Q$91,FALSE)))</f>
        <v>0</v>
      </c>
      <c r="F7" s="155">
        <f ca="1">IF($A7="","",(VLOOKUP($A7,master_food_list,'Master Food List'!R$91,FALSE)))</f>
        <v>3</v>
      </c>
      <c r="G7" s="155">
        <f ca="1">IF($A7="","",(VLOOKUP($A7,master_food_list,'Master Food List'!S$91,FALSE)))</f>
        <v>0</v>
      </c>
    </row>
    <row r="8" spans="1:7" x14ac:dyDescent="0.2">
      <c r="A8" s="184" t="s">
        <v>260</v>
      </c>
      <c r="B8" s="155">
        <f ca="1">IF($A8="","",(VLOOKUP($A8,master_food_list,'Master Food List'!N$91,FALSE)))</f>
        <v>45</v>
      </c>
      <c r="C8" s="155">
        <f ca="1">IF($A8="","",(VLOOKUP($A8,master_food_list,'Master Food List'!O$91,FALSE)))</f>
        <v>12</v>
      </c>
      <c r="D8" s="155">
        <f ca="1">IF($A8="","",(VLOOKUP($A8,master_food_list,'Master Food List'!P$91,FALSE)))</f>
        <v>0</v>
      </c>
      <c r="E8" s="155">
        <f ca="1">IF($A8="","",(VLOOKUP($A8,master_food_list,'Master Food List'!Q$91,FALSE)))</f>
        <v>0</v>
      </c>
      <c r="F8" s="155">
        <f ca="1">IF($A8="","",(VLOOKUP($A8,master_food_list,'Master Food List'!R$91,FALSE)))</f>
        <v>0</v>
      </c>
      <c r="G8" s="155">
        <f ca="1">IF($A8="","",(VLOOKUP($A8,master_food_list,'Master Food List'!S$91,FALSE)))</f>
        <v>0</v>
      </c>
    </row>
    <row r="9" spans="1:7" x14ac:dyDescent="0.2">
      <c r="A9" s="184" t="s">
        <v>255</v>
      </c>
      <c r="B9" s="155">
        <f ca="1">IF($A9="","",(VLOOKUP($A9,master_food_list,'Master Food List'!N$91,FALSE)))</f>
        <v>6</v>
      </c>
      <c r="C9" s="155">
        <f ca="1">IF($A9="","",(VLOOKUP($A9,master_food_list,'Master Food List'!O$91,FALSE)))</f>
        <v>2.1</v>
      </c>
      <c r="D9" s="155">
        <f ca="1">IF($A9="","",(VLOOKUP($A9,master_food_list,'Master Food List'!P$91,FALSE)))</f>
        <v>0.1</v>
      </c>
      <c r="E9" s="155">
        <f ca="1">IF($A9="","",(VLOOKUP($A9,master_food_list,'Master Food List'!Q$91,FALSE)))</f>
        <v>0</v>
      </c>
      <c r="F9" s="155">
        <f ca="1">IF($A9="","",(VLOOKUP($A9,master_food_list,'Master Food List'!R$91,FALSE)))</f>
        <v>0</v>
      </c>
      <c r="G9" s="155">
        <f ca="1">IF($A9="","",(VLOOKUP($A9,master_food_list,'Master Food List'!S$91,FALSE)))</f>
        <v>0</v>
      </c>
    </row>
    <row r="10" spans="1:7" x14ac:dyDescent="0.2">
      <c r="A10" s="184" t="s">
        <v>254</v>
      </c>
      <c r="B10" s="155">
        <f ca="1">IF($A10="","",(VLOOKUP($A10,master_food_list,'Master Food List'!N$91,FALSE)))</f>
        <v>23.062644141525883</v>
      </c>
      <c r="C10" s="155">
        <f ca="1">IF($A10="","",(VLOOKUP($A10,master_food_list,'Master Food List'!O$91,FALSE)))</f>
        <v>6.1875386721167001</v>
      </c>
      <c r="D10" s="155">
        <f ca="1">IF($A10="","",(VLOOKUP($A10,master_food_list,'Master Food List'!P$91,FALSE)))</f>
        <v>0</v>
      </c>
      <c r="E10" s="155">
        <f ca="1">IF($A10="","",(VLOOKUP($A10,master_food_list,'Master Food List'!Q$91,FALSE)))</f>
        <v>0.18750117188232426</v>
      </c>
      <c r="F10" s="155">
        <f ca="1">IF($A10="","",(VLOOKUP($A10,master_food_list,'Master Food List'!R$91,FALSE)))</f>
        <v>0.18750117188232426</v>
      </c>
      <c r="G10" s="155">
        <f ca="1">IF($A10="","",(VLOOKUP($A10,master_food_list,'Master Food List'!S$91,FALSE)))</f>
        <v>0</v>
      </c>
    </row>
    <row r="11" spans="1:7" x14ac:dyDescent="0.2">
      <c r="A11" s="184" t="s">
        <v>263</v>
      </c>
      <c r="B11" s="155">
        <f ca="1">IF($A11="","",(VLOOKUP($A11,master_food_list,'Master Food List'!N$91,FALSE)))</f>
        <v>33.0625</v>
      </c>
      <c r="C11" s="155">
        <f ca="1">IF($A11="","",(VLOOKUP($A11,master_food_list,'Master Food List'!O$91,FALSE)))</f>
        <v>1.25</v>
      </c>
      <c r="D11" s="155">
        <f ca="1">IF($A11="","",(VLOOKUP($A11,master_food_list,'Master Food List'!P$91,FALSE)))</f>
        <v>1.25</v>
      </c>
      <c r="E11" s="155">
        <f ca="1">IF($A11="","",(VLOOKUP($A11,master_food_list,'Master Food List'!Q$91,FALSE)))</f>
        <v>2.8125</v>
      </c>
      <c r="F11" s="155">
        <f ca="1">IF($A11="","",(VLOOKUP($A11,master_food_list,'Master Food List'!R$91,FALSE)))</f>
        <v>6.25E-2</v>
      </c>
      <c r="G11" s="155">
        <f ca="1">IF($A11="","",(VLOOKUP($A11,master_food_list,'Master Food List'!S$91,FALSE)))</f>
        <v>0</v>
      </c>
    </row>
    <row r="12" spans="1:7" x14ac:dyDescent="0.2">
      <c r="A12" s="184" t="s">
        <v>258</v>
      </c>
      <c r="B12" s="155">
        <f ca="1">IF($A12="","",(VLOOKUP($A12,master_food_list,'Master Food List'!N$91,FALSE)))</f>
        <v>70</v>
      </c>
      <c r="C12" s="155">
        <f ca="1">IF($A12="","",(VLOOKUP($A12,master_food_list,'Master Food List'!O$91,FALSE)))</f>
        <v>9</v>
      </c>
      <c r="D12" s="155">
        <f ca="1">IF($A12="","",(VLOOKUP($A12,master_food_list,'Master Food List'!P$91,FALSE)))</f>
        <v>0.5</v>
      </c>
      <c r="E12" s="155">
        <f ca="1">IF($A12="","",(VLOOKUP($A12,master_food_list,'Master Food List'!Q$91,FALSE)))</f>
        <v>4</v>
      </c>
      <c r="F12" s="155">
        <f ca="1">IF($A12="","",(VLOOKUP($A12,master_food_list,'Master Food List'!R$91,FALSE)))</f>
        <v>0</v>
      </c>
      <c r="G12" s="155">
        <f ca="1">IF($A12="","",(VLOOKUP($A12,master_food_list,'Master Food List'!S$91,FALSE)))</f>
        <v>0</v>
      </c>
    </row>
    <row r="13" spans="1:7" x14ac:dyDescent="0.2">
      <c r="A13" s="185" t="s">
        <v>376</v>
      </c>
      <c r="B13" s="154">
        <f t="shared" ref="B13:G13" ca="1" si="0">SUM(B5:B11)</f>
        <v>466.12514414152588</v>
      </c>
      <c r="C13" s="154">
        <f t="shared" ca="1" si="0"/>
        <v>86.837538672116693</v>
      </c>
      <c r="D13" s="154">
        <f t="shared" ca="1" si="0"/>
        <v>18.650000000000002</v>
      </c>
      <c r="E13" s="154">
        <f t="shared" ca="1" si="0"/>
        <v>14.500001171882325</v>
      </c>
      <c r="F13" s="154">
        <f t="shared" ca="1" si="0"/>
        <v>258.25000117188233</v>
      </c>
      <c r="G13" s="154">
        <f t="shared" ca="1" si="0"/>
        <v>0</v>
      </c>
    </row>
    <row r="14" spans="1:7" x14ac:dyDescent="0.2">
      <c r="A14" s="186"/>
      <c r="B14" s="153"/>
      <c r="C14" s="153"/>
      <c r="D14" s="153"/>
      <c r="E14" s="153"/>
      <c r="F14" s="153"/>
      <c r="G14" s="153"/>
    </row>
    <row r="16" spans="1:7" x14ac:dyDescent="0.2">
      <c r="A16" s="183" t="s">
        <v>495</v>
      </c>
    </row>
    <row r="17" spans="1:7" x14ac:dyDescent="0.2">
      <c r="A17" s="184" t="s">
        <v>400</v>
      </c>
      <c r="B17" s="155">
        <f ca="1">IF($A17="","",(VLOOKUP($A17,master_food_list,'Master Food List'!N$91,FALSE)))</f>
        <v>2</v>
      </c>
      <c r="C17" s="155">
        <f ca="1">IF($A17="","",(VLOOKUP($A17,master_food_list,'Master Food List'!O$91,FALSE)))</f>
        <v>0</v>
      </c>
      <c r="D17" s="155">
        <f ca="1">IF($A17="","",(VLOOKUP($A17,master_food_list,'Master Food List'!P$91,FALSE)))</f>
        <v>0</v>
      </c>
      <c r="E17" s="155">
        <f ca="1">IF($A17="","",(VLOOKUP($A17,master_food_list,'Master Food List'!Q$91,FALSE)))</f>
        <v>0</v>
      </c>
      <c r="F17" s="155">
        <f ca="1">IF($A17="","",(VLOOKUP($A17,master_food_list,'Master Food List'!R$91,FALSE)))</f>
        <v>0</v>
      </c>
      <c r="G17" s="155">
        <f ca="1">IF($A17="","",(VLOOKUP($A17,master_food_list,'Master Food List'!S$91,FALSE)))</f>
        <v>0</v>
      </c>
    </row>
    <row r="18" spans="1:7" x14ac:dyDescent="0.2">
      <c r="A18" s="184" t="s">
        <v>243</v>
      </c>
      <c r="B18" s="155">
        <f ca="1">IF($A18="","",(VLOOKUP($A18,master_food_list,'Master Food List'!N$91,FALSE)))</f>
        <v>120</v>
      </c>
      <c r="C18" s="155">
        <f ca="1">IF($A18="","",(VLOOKUP($A18,master_food_list,'Master Food List'!O$91,FALSE)))</f>
        <v>18</v>
      </c>
      <c r="D18" s="155">
        <f ca="1">IF($A18="","",(VLOOKUP($A18,master_food_list,'Master Food List'!P$91,FALSE)))</f>
        <v>9</v>
      </c>
      <c r="E18" s="155">
        <f ca="1">IF($A18="","",(VLOOKUP($A18,master_food_list,'Master Food List'!Q$91,FALSE)))</f>
        <v>7.5</v>
      </c>
      <c r="F18" s="155">
        <f ca="1">IF($A18="","",(VLOOKUP($A18,master_food_list,'Master Food List'!R$91,FALSE)))</f>
        <v>105</v>
      </c>
      <c r="G18" s="155">
        <f ca="1">IF($A18="","",(VLOOKUP($A18,master_food_list,'Master Food List'!S$91,FALSE)))</f>
        <v>0</v>
      </c>
    </row>
    <row r="19" spans="1:7" x14ac:dyDescent="0.2">
      <c r="A19" s="185" t="s">
        <v>376</v>
      </c>
      <c r="B19" s="154">
        <f t="shared" ref="B19:G19" ca="1" si="1">SUM(B17:B18)</f>
        <v>122</v>
      </c>
      <c r="C19" s="154">
        <f t="shared" ca="1" si="1"/>
        <v>18</v>
      </c>
      <c r="D19" s="154">
        <f t="shared" ca="1" si="1"/>
        <v>9</v>
      </c>
      <c r="E19" s="154">
        <f t="shared" ca="1" si="1"/>
        <v>7.5</v>
      </c>
      <c r="F19" s="154">
        <f t="shared" ca="1" si="1"/>
        <v>105</v>
      </c>
      <c r="G19" s="154">
        <f t="shared" ca="1" si="1"/>
        <v>0</v>
      </c>
    </row>
    <row r="20" spans="1:7" x14ac:dyDescent="0.2">
      <c r="A20" s="186"/>
      <c r="B20" s="153"/>
      <c r="C20" s="153"/>
      <c r="D20" s="153"/>
      <c r="E20" s="153"/>
      <c r="F20" s="153"/>
      <c r="G20" s="153"/>
    </row>
    <row r="22" spans="1:7" x14ac:dyDescent="0.2">
      <c r="A22" s="183" t="s">
        <v>497</v>
      </c>
      <c r="B22" s="156"/>
      <c r="C22" s="156"/>
      <c r="D22" s="156"/>
      <c r="E22" s="156"/>
      <c r="F22" s="156"/>
      <c r="G22" s="156"/>
    </row>
    <row r="23" spans="1:7" x14ac:dyDescent="0.2">
      <c r="A23" s="184" t="s">
        <v>266</v>
      </c>
      <c r="B23" s="155">
        <f ca="1">IF($A23="","",(VLOOKUP($A23,master_food_list,'Master Food List'!N$91,FALSE)))</f>
        <v>220</v>
      </c>
      <c r="C23" s="155">
        <f ca="1">IF($A23="","",(VLOOKUP($A23,master_food_list,'Master Food List'!O$91,FALSE)))</f>
        <v>36</v>
      </c>
      <c r="D23" s="155">
        <f ca="1">IF($A23="","",(VLOOKUP($A23,master_food_list,'Master Food List'!P$91,FALSE)))</f>
        <v>6</v>
      </c>
      <c r="E23" s="155">
        <f ca="1">IF($A23="","",(VLOOKUP($A23,master_food_list,'Master Food List'!Q$91,FALSE)))</f>
        <v>5</v>
      </c>
      <c r="F23" s="155">
        <f ca="1">IF($A23="","",(VLOOKUP($A23,master_food_list,'Master Food List'!R$91,FALSE)))</f>
        <v>620</v>
      </c>
      <c r="G23" s="155">
        <f ca="1">IF($A23="","",(VLOOKUP($A23,master_food_list,'Master Food List'!S$91,FALSE)))</f>
        <v>0</v>
      </c>
    </row>
    <row r="24" spans="1:7" x14ac:dyDescent="0.2">
      <c r="A24" s="184" t="s">
        <v>379</v>
      </c>
      <c r="B24" s="155">
        <f ca="1">IF($A24="","",(VLOOKUP($A24,master_food_list,'Master Food List'!N$91,FALSE)))</f>
        <v>620</v>
      </c>
      <c r="C24" s="155">
        <f ca="1">IF($A24="","",(VLOOKUP($A24,master_food_list,'Master Food List'!O$91,FALSE)))</f>
        <v>66</v>
      </c>
      <c r="D24" s="155">
        <f ca="1">IF($A24="","",(VLOOKUP($A24,master_food_list,'Master Food List'!P$91,FALSE)))</f>
        <v>32</v>
      </c>
      <c r="E24" s="155">
        <f ca="1">IF($A24="","",(VLOOKUP($A24,master_food_list,'Master Food List'!Q$91,FALSE)))</f>
        <v>24</v>
      </c>
      <c r="F24" s="155">
        <f ca="1">IF($A24="","",(VLOOKUP($A24,master_food_list,'Master Food List'!R$91,FALSE)))</f>
        <v>1660</v>
      </c>
      <c r="G24" s="155">
        <f ca="1">IF($A24="","",(VLOOKUP($A24,master_food_list,'Master Food List'!S$91,FALSE)))</f>
        <v>0</v>
      </c>
    </row>
    <row r="25" spans="1:7" x14ac:dyDescent="0.2">
      <c r="A25" s="185" t="s">
        <v>376</v>
      </c>
      <c r="B25" s="154">
        <f t="shared" ref="B25:G25" ca="1" si="2">SUM(B23:B24)</f>
        <v>840</v>
      </c>
      <c r="C25" s="154">
        <f t="shared" ca="1" si="2"/>
        <v>102</v>
      </c>
      <c r="D25" s="154">
        <f t="shared" ca="1" si="2"/>
        <v>38</v>
      </c>
      <c r="E25" s="154">
        <f t="shared" ca="1" si="2"/>
        <v>29</v>
      </c>
      <c r="F25" s="154">
        <f t="shared" ca="1" si="2"/>
        <v>2280</v>
      </c>
      <c r="G25" s="154">
        <f t="shared" ca="1" si="2"/>
        <v>0</v>
      </c>
    </row>
    <row r="26" spans="1:7" x14ac:dyDescent="0.2">
      <c r="A26" s="186"/>
      <c r="B26" s="153"/>
      <c r="C26" s="153"/>
      <c r="D26" s="153"/>
      <c r="E26" s="153"/>
      <c r="F26" s="153"/>
      <c r="G26" s="153"/>
    </row>
    <row r="28" spans="1:7" x14ac:dyDescent="0.2">
      <c r="A28" s="183" t="s">
        <v>498</v>
      </c>
      <c r="B28" s="156"/>
      <c r="C28" s="156"/>
      <c r="D28" s="156"/>
      <c r="E28" s="156"/>
      <c r="F28" s="156"/>
      <c r="G28" s="156"/>
    </row>
    <row r="29" spans="1:7" x14ac:dyDescent="0.2">
      <c r="A29" s="184" t="s">
        <v>266</v>
      </c>
      <c r="B29" s="155">
        <f ca="1">IF($A29="","",(VLOOKUP($A29,master_food_list,'Master Food List'!N$91,FALSE)))</f>
        <v>220</v>
      </c>
      <c r="C29" s="155">
        <f ca="1">IF($A29="","",(VLOOKUP($A29,master_food_list,'Master Food List'!O$91,FALSE)))</f>
        <v>36</v>
      </c>
      <c r="D29" s="155">
        <f ca="1">IF($A29="","",(VLOOKUP($A29,master_food_list,'Master Food List'!P$91,FALSE)))</f>
        <v>6</v>
      </c>
      <c r="E29" s="155">
        <f ca="1">IF($A29="","",(VLOOKUP($A29,master_food_list,'Master Food List'!Q$91,FALSE)))</f>
        <v>5</v>
      </c>
      <c r="F29" s="155">
        <f ca="1">IF($A29="","",(VLOOKUP($A29,master_food_list,'Master Food List'!R$91,FALSE)))</f>
        <v>620</v>
      </c>
      <c r="G29" s="155">
        <f ca="1">IF($A29="","",(VLOOKUP($A29,master_food_list,'Master Food List'!S$91,FALSE)))</f>
        <v>0</v>
      </c>
    </row>
    <row r="30" spans="1:7" x14ac:dyDescent="0.2">
      <c r="A30" s="184" t="s">
        <v>526</v>
      </c>
      <c r="B30" s="155">
        <f ca="1">IF($A30="","",(VLOOKUP($A30,master_food_list,'Master Food List'!N$91,FALSE)))</f>
        <v>800</v>
      </c>
      <c r="C30" s="155">
        <f ca="1">IF($A30="","",(VLOOKUP($A30,master_food_list,'Master Food List'!O$91,FALSE)))</f>
        <v>60</v>
      </c>
      <c r="D30" s="155">
        <f ca="1">IF($A30="","",(VLOOKUP($A30,master_food_list,'Master Food List'!P$91,FALSE)))</f>
        <v>28</v>
      </c>
      <c r="E30" s="155">
        <f ca="1">IF($A30="","",(VLOOKUP($A30,master_food_list,'Master Food List'!Q$91,FALSE)))</f>
        <v>48</v>
      </c>
      <c r="F30" s="155">
        <f ca="1">IF($A30="","",(VLOOKUP($A30,master_food_list,'Master Food List'!R$91,FALSE)))</f>
        <v>1840</v>
      </c>
      <c r="G30" s="155">
        <f ca="1">IF($A30="","",(VLOOKUP($A30,master_food_list,'Master Food List'!S$91,FALSE)))</f>
        <v>0</v>
      </c>
    </row>
    <row r="31" spans="1:7" x14ac:dyDescent="0.2">
      <c r="A31" s="185" t="s">
        <v>376</v>
      </c>
      <c r="B31" s="154">
        <f t="shared" ref="B31:G31" ca="1" si="3">SUM(B29:B30)</f>
        <v>1020</v>
      </c>
      <c r="C31" s="154">
        <f t="shared" ca="1" si="3"/>
        <v>96</v>
      </c>
      <c r="D31" s="154">
        <f t="shared" ca="1" si="3"/>
        <v>34</v>
      </c>
      <c r="E31" s="154">
        <f t="shared" ca="1" si="3"/>
        <v>53</v>
      </c>
      <c r="F31" s="154">
        <f t="shared" ca="1" si="3"/>
        <v>2460</v>
      </c>
      <c r="G31" s="154">
        <f t="shared" ca="1" si="3"/>
        <v>0</v>
      </c>
    </row>
    <row r="32" spans="1:7" x14ac:dyDescent="0.2">
      <c r="A32" s="186"/>
      <c r="B32" s="153"/>
      <c r="C32" s="153"/>
      <c r="D32" s="153"/>
      <c r="E32" s="153"/>
      <c r="F32" s="153"/>
      <c r="G32" s="153"/>
    </row>
    <row r="33" spans="1:7" s="180" customFormat="1" x14ac:dyDescent="0.2">
      <c r="A33" s="182"/>
      <c r="B33" s="179"/>
      <c r="C33" s="179"/>
      <c r="D33" s="179"/>
      <c r="E33" s="179"/>
      <c r="F33" s="179"/>
      <c r="G33" s="179"/>
    </row>
    <row r="34" spans="1:7" x14ac:dyDescent="0.2">
      <c r="A34" s="183" t="s">
        <v>500</v>
      </c>
      <c r="B34" s="156"/>
      <c r="C34" s="156"/>
      <c r="D34" s="156"/>
      <c r="E34" s="156"/>
      <c r="F34" s="156"/>
      <c r="G34" s="156"/>
    </row>
    <row r="35" spans="1:7" x14ac:dyDescent="0.2">
      <c r="A35" s="184" t="s">
        <v>266</v>
      </c>
      <c r="B35" s="155">
        <f ca="1">IF($A35="","",(VLOOKUP($A35,master_food_list,'Master Food List'!N$91,FALSE)))</f>
        <v>220</v>
      </c>
      <c r="C35" s="155">
        <f ca="1">IF($A35="","",(VLOOKUP($A35,master_food_list,'Master Food List'!O$91,FALSE)))</f>
        <v>36</v>
      </c>
      <c r="D35" s="155">
        <f ca="1">IF($A35="","",(VLOOKUP($A35,master_food_list,'Master Food List'!P$91,FALSE)))</f>
        <v>6</v>
      </c>
      <c r="E35" s="155">
        <f ca="1">IF($A35="","",(VLOOKUP($A35,master_food_list,'Master Food List'!Q$91,FALSE)))</f>
        <v>5</v>
      </c>
      <c r="F35" s="155">
        <f ca="1">IF($A35="","",(VLOOKUP($A35,master_food_list,'Master Food List'!R$91,FALSE)))</f>
        <v>620</v>
      </c>
      <c r="G35" s="155">
        <f ca="1">IF($A35="","",(VLOOKUP($A35,master_food_list,'Master Food List'!S$91,FALSE)))</f>
        <v>0</v>
      </c>
    </row>
    <row r="36" spans="1:7" x14ac:dyDescent="0.2">
      <c r="A36" s="184" t="s">
        <v>488</v>
      </c>
      <c r="B36" s="155">
        <f ca="1">IF($A36="","",(VLOOKUP($A36,master_food_list,'Master Food List'!N$91,FALSE)))</f>
        <v>380</v>
      </c>
      <c r="C36" s="155">
        <f ca="1">IF($A36="","",(VLOOKUP($A36,master_food_list,'Master Food List'!O$91,FALSE)))</f>
        <v>14</v>
      </c>
      <c r="D36" s="155">
        <f ca="1">IF($A36="","",(VLOOKUP($A36,master_food_list,'Master Food List'!P$91,FALSE)))</f>
        <v>30</v>
      </c>
      <c r="E36" s="155">
        <f ca="1">IF($A36="","",(VLOOKUP($A36,master_food_list,'Master Food List'!Q$91,FALSE)))</f>
        <v>22</v>
      </c>
      <c r="F36" s="155">
        <f ca="1">IF($A36="","",(VLOOKUP($A36,master_food_list,'Master Food List'!R$91,FALSE)))</f>
        <v>1260</v>
      </c>
      <c r="G36" s="155">
        <f ca="1">IF($A36="","",(VLOOKUP($A36,master_food_list,'Master Food List'!S$91,FALSE)))</f>
        <v>0</v>
      </c>
    </row>
    <row r="37" spans="1:7" x14ac:dyDescent="0.2">
      <c r="A37" s="185" t="s">
        <v>376</v>
      </c>
      <c r="B37" s="154">
        <f t="shared" ref="B37:G37" ca="1" si="4">SUM(B35:B36)</f>
        <v>600</v>
      </c>
      <c r="C37" s="154">
        <f t="shared" ca="1" si="4"/>
        <v>50</v>
      </c>
      <c r="D37" s="154">
        <f t="shared" ca="1" si="4"/>
        <v>36</v>
      </c>
      <c r="E37" s="154">
        <f t="shared" ca="1" si="4"/>
        <v>27</v>
      </c>
      <c r="F37" s="154">
        <f t="shared" ca="1" si="4"/>
        <v>1880</v>
      </c>
      <c r="G37" s="154">
        <f t="shared" ca="1" si="4"/>
        <v>0</v>
      </c>
    </row>
    <row r="38" spans="1:7" x14ac:dyDescent="0.2">
      <c r="A38" s="186"/>
      <c r="B38" s="153"/>
      <c r="C38" s="153"/>
      <c r="D38" s="153"/>
      <c r="E38" s="153"/>
      <c r="F38" s="153"/>
      <c r="G38" s="153"/>
    </row>
    <row r="39" spans="1:7" s="180" customFormat="1" x14ac:dyDescent="0.2">
      <c r="A39" s="182"/>
      <c r="B39" s="179"/>
      <c r="C39" s="179"/>
      <c r="D39" s="179"/>
      <c r="E39" s="179"/>
      <c r="F39" s="179"/>
      <c r="G39" s="179"/>
    </row>
    <row r="40" spans="1:7" x14ac:dyDescent="0.2">
      <c r="A40" s="183" t="s">
        <v>499</v>
      </c>
      <c r="B40" s="156"/>
      <c r="C40" s="156"/>
      <c r="D40" s="156"/>
      <c r="E40" s="156"/>
      <c r="F40" s="156"/>
      <c r="G40" s="156"/>
    </row>
    <row r="41" spans="1:7" x14ac:dyDescent="0.2">
      <c r="A41" s="184" t="s">
        <v>266</v>
      </c>
      <c r="B41" s="155">
        <f ca="1">IF($A41="","",(VLOOKUP($A41,master_food_list,'Master Food List'!N$91,FALSE)))</f>
        <v>220</v>
      </c>
      <c r="C41" s="155">
        <f ca="1">IF($A41="","",(VLOOKUP($A41,master_food_list,'Master Food List'!O$91,FALSE)))</f>
        <v>36</v>
      </c>
      <c r="D41" s="155">
        <f ca="1">IF($A41="","",(VLOOKUP($A41,master_food_list,'Master Food List'!P$91,FALSE)))</f>
        <v>6</v>
      </c>
      <c r="E41" s="155">
        <f ca="1">IF($A41="","",(VLOOKUP($A41,master_food_list,'Master Food List'!Q$91,FALSE)))</f>
        <v>5</v>
      </c>
      <c r="F41" s="155">
        <f ca="1">IF($A41="","",(VLOOKUP($A41,master_food_list,'Master Food List'!R$91,FALSE)))</f>
        <v>620</v>
      </c>
      <c r="G41" s="155">
        <f ca="1">IF($A41="","",(VLOOKUP($A41,master_food_list,'Master Food List'!S$91,FALSE)))</f>
        <v>0</v>
      </c>
    </row>
    <row r="42" spans="1:7" x14ac:dyDescent="0.2">
      <c r="A42" s="184" t="s">
        <v>237</v>
      </c>
      <c r="B42" s="155">
        <f ca="1">IF($A42="","",(VLOOKUP($A42,master_food_list,'Master Food List'!N$91,FALSE)))</f>
        <v>90</v>
      </c>
      <c r="C42" s="155">
        <f ca="1">IF($A42="","",(VLOOKUP($A42,master_food_list,'Master Food List'!O$91,FALSE)))</f>
        <v>1</v>
      </c>
      <c r="D42" s="155">
        <f ca="1">IF($A42="","",(VLOOKUP($A42,master_food_list,'Master Food List'!P$91,FALSE)))</f>
        <v>17</v>
      </c>
      <c r="E42" s="155">
        <f ca="1">IF($A42="","",(VLOOKUP($A42,master_food_list,'Master Food List'!Q$91,FALSE)))</f>
        <v>1</v>
      </c>
      <c r="F42" s="155">
        <f ca="1">IF($A42="","",(VLOOKUP($A42,master_food_list,'Master Food List'!R$91,FALSE)))</f>
        <v>340</v>
      </c>
      <c r="G42" s="155">
        <f ca="1">IF($A42="","",(VLOOKUP($A42,master_food_list,'Master Food List'!S$91,FALSE)))</f>
        <v>0</v>
      </c>
    </row>
    <row r="43" spans="1:7" x14ac:dyDescent="0.2">
      <c r="A43" s="184" t="s">
        <v>378</v>
      </c>
      <c r="B43" s="155">
        <f ca="1">IF($A43="","",(VLOOKUP($A43,master_food_list,'Master Food List'!N$91,FALSE)))</f>
        <v>300</v>
      </c>
      <c r="C43" s="155">
        <f ca="1">IF($A43="","",(VLOOKUP($A43,master_food_list,'Master Food List'!O$91,FALSE)))</f>
        <v>6</v>
      </c>
      <c r="D43" s="155">
        <f ca="1">IF($A43="","",(VLOOKUP($A43,master_food_list,'Master Food List'!P$91,FALSE)))</f>
        <v>4</v>
      </c>
      <c r="E43" s="155">
        <f ca="1">IF($A43="","",(VLOOKUP($A43,master_food_list,'Master Food List'!Q$91,FALSE)))</f>
        <v>34</v>
      </c>
      <c r="F43" s="155">
        <f ca="1">IF($A43="","",(VLOOKUP($A43,master_food_list,'Master Food List'!R$91,FALSE)))</f>
        <v>340</v>
      </c>
      <c r="G43" s="155">
        <f ca="1">IF($A43="","",(VLOOKUP($A43,master_food_list,'Master Food List'!S$91,FALSE)))</f>
        <v>0</v>
      </c>
    </row>
    <row r="44" spans="1:7" x14ac:dyDescent="0.2">
      <c r="A44" s="185" t="s">
        <v>376</v>
      </c>
      <c r="B44" s="154">
        <f t="shared" ref="B44:G44" ca="1" si="5">SUM(B41:B43)</f>
        <v>610</v>
      </c>
      <c r="C44" s="154">
        <f t="shared" ca="1" si="5"/>
        <v>43</v>
      </c>
      <c r="D44" s="154">
        <f t="shared" ca="1" si="5"/>
        <v>27</v>
      </c>
      <c r="E44" s="154">
        <f t="shared" ca="1" si="5"/>
        <v>40</v>
      </c>
      <c r="F44" s="154">
        <f t="shared" ca="1" si="5"/>
        <v>1300</v>
      </c>
      <c r="G44" s="154">
        <f t="shared" ca="1" si="5"/>
        <v>0</v>
      </c>
    </row>
    <row r="45" spans="1:7" x14ac:dyDescent="0.2">
      <c r="A45" s="186"/>
      <c r="B45" s="153"/>
      <c r="C45" s="153"/>
      <c r="D45" s="153"/>
      <c r="E45" s="153"/>
      <c r="F45" s="153"/>
      <c r="G45" s="153"/>
    </row>
    <row r="47" spans="1:7" x14ac:dyDescent="0.2">
      <c r="A47" s="183" t="s">
        <v>501</v>
      </c>
      <c r="B47" s="156"/>
      <c r="C47" s="156"/>
      <c r="D47" s="156"/>
      <c r="E47" s="156"/>
      <c r="F47" s="156"/>
      <c r="G47" s="156"/>
    </row>
    <row r="48" spans="1:7" ht="17" x14ac:dyDescent="0.2">
      <c r="A48" s="184" t="s">
        <v>266</v>
      </c>
      <c r="B48" s="155">
        <f ca="1">IF($A48="","",(VLOOKUP($A48,master_food_list,'Master Food List'!N$91,FALSE)))</f>
        <v>220</v>
      </c>
      <c r="C48" s="155">
        <f ca="1">IF($A48="","",(VLOOKUP($A48,master_food_list,'Master Food List'!O$91,FALSE)))</f>
        <v>36</v>
      </c>
      <c r="D48" s="155">
        <f ca="1">IF($A48="","",(VLOOKUP($A48,master_food_list,'Master Food List'!P$91,FALSE)))</f>
        <v>6</v>
      </c>
      <c r="E48" s="155">
        <f ca="1">IF($A48="","",(VLOOKUP($A48,master_food_list,'Master Food List'!Q$91,FALSE)))</f>
        <v>5</v>
      </c>
      <c r="F48" s="155">
        <f ca="1">IF($A48="","",(VLOOKUP($A48,master_food_list,'Master Food List'!R$91,FALSE)))</f>
        <v>620</v>
      </c>
      <c r="G48" s="155">
        <f ca="1">IF($A48="","",(VLOOKUP($A48,master_food_list,'Master Food List'!S$91,FALSE)))</f>
        <v>0</v>
      </c>
    </row>
    <row r="49" spans="1:7" ht="17" x14ac:dyDescent="0.2">
      <c r="A49" s="184" t="s">
        <v>377</v>
      </c>
      <c r="B49" s="155">
        <f ca="1">IF($A49="","",(VLOOKUP($A49,master_food_list,'Master Food List'!N$91,FALSE)))</f>
        <v>720</v>
      </c>
      <c r="C49" s="155">
        <f ca="1">IF($A49="","",(VLOOKUP($A49,master_food_list,'Master Food List'!O$91,FALSE)))</f>
        <v>60</v>
      </c>
      <c r="D49" s="155">
        <f ca="1">IF($A49="","",(VLOOKUP($A49,master_food_list,'Master Food List'!P$91,FALSE)))</f>
        <v>28</v>
      </c>
      <c r="E49" s="155">
        <f ca="1">IF($A49="","",(VLOOKUP($A49,master_food_list,'Master Food List'!Q$91,FALSE)))</f>
        <v>40</v>
      </c>
      <c r="F49" s="155">
        <f ca="1">IF($A49="","",(VLOOKUP($A49,master_food_list,'Master Food List'!R$91,FALSE)))</f>
        <v>560</v>
      </c>
      <c r="G49" s="155">
        <f ca="1">IF($A49="","",(VLOOKUP($A49,master_food_list,'Master Food List'!S$91,FALSE)))</f>
        <v>0</v>
      </c>
    </row>
    <row r="50" spans="1:7" ht="17" x14ac:dyDescent="0.2">
      <c r="A50" s="185" t="s">
        <v>376</v>
      </c>
      <c r="B50" s="154">
        <f t="shared" ref="B50:G50" ca="1" si="6">SUM(B48:B49)</f>
        <v>940</v>
      </c>
      <c r="C50" s="154">
        <f t="shared" ca="1" si="6"/>
        <v>96</v>
      </c>
      <c r="D50" s="154">
        <f t="shared" ca="1" si="6"/>
        <v>34</v>
      </c>
      <c r="E50" s="154">
        <f t="shared" ca="1" si="6"/>
        <v>45</v>
      </c>
      <c r="F50" s="154">
        <f t="shared" ca="1" si="6"/>
        <v>1180</v>
      </c>
      <c r="G50" s="154">
        <f t="shared" ca="1" si="6"/>
        <v>0</v>
      </c>
    </row>
    <row r="51" spans="1:7" x14ac:dyDescent="0.2">
      <c r="A51" s="186"/>
      <c r="B51" s="153"/>
      <c r="C51" s="153"/>
      <c r="D51" s="153"/>
      <c r="E51" s="153"/>
      <c r="F51" s="153"/>
      <c r="G51" s="153"/>
    </row>
    <row r="53" spans="1:7" ht="17" x14ac:dyDescent="0.2">
      <c r="A53" s="183" t="s">
        <v>502</v>
      </c>
      <c r="B53" s="156"/>
      <c r="C53" s="156"/>
      <c r="D53" s="156"/>
      <c r="E53" s="156"/>
      <c r="F53" s="156"/>
      <c r="G53" s="156"/>
    </row>
    <row r="54" spans="1:7" ht="17" x14ac:dyDescent="0.2">
      <c r="A54" s="184" t="s">
        <v>266</v>
      </c>
      <c r="B54" s="155">
        <f ca="1">IF($A54="","",(VLOOKUP($A54,master_food_list,'Master Food List'!N$91,FALSE)))</f>
        <v>220</v>
      </c>
      <c r="C54" s="155">
        <f ca="1">IF($A54="","",(VLOOKUP($A54,master_food_list,'Master Food List'!O$91,FALSE)))</f>
        <v>36</v>
      </c>
      <c r="D54" s="155">
        <f ca="1">IF($A54="","",(VLOOKUP($A54,master_food_list,'Master Food List'!P$91,FALSE)))</f>
        <v>6</v>
      </c>
      <c r="E54" s="155">
        <f ca="1">IF($A54="","",(VLOOKUP($A54,master_food_list,'Master Food List'!Q$91,FALSE)))</f>
        <v>5</v>
      </c>
      <c r="F54" s="155">
        <f ca="1">IF($A54="","",(VLOOKUP($A54,master_food_list,'Master Food List'!R$91,FALSE)))</f>
        <v>620</v>
      </c>
      <c r="G54" s="155">
        <f ca="1">IF($A54="","",(VLOOKUP($A54,master_food_list,'Master Food List'!S$91,FALSE)))</f>
        <v>0</v>
      </c>
    </row>
    <row r="55" spans="1:7" ht="17" x14ac:dyDescent="0.2">
      <c r="A55" s="184" t="s">
        <v>479</v>
      </c>
      <c r="B55" s="155">
        <f ca="1">IF($A55="","",(VLOOKUP($A55,master_food_list,'Master Food List'!N$91,FALSE)))</f>
        <v>300</v>
      </c>
      <c r="C55" s="155">
        <f ca="1">IF($A55="","",(VLOOKUP($A55,master_food_list,'Master Food List'!O$91,FALSE)))</f>
        <v>10.5</v>
      </c>
      <c r="D55" s="155">
        <f ca="1">IF($A55="","",(VLOOKUP($A55,master_food_list,'Master Food List'!P$91,FALSE)))</f>
        <v>10.5</v>
      </c>
      <c r="E55" s="155">
        <f ca="1">IF($A55="","",(VLOOKUP($A55,master_food_list,'Master Food List'!Q$91,FALSE)))</f>
        <v>25.5</v>
      </c>
      <c r="F55" s="155">
        <f ca="1">IF($A55="","",(VLOOKUP($A55,master_food_list,'Master Food List'!R$91,FALSE)))</f>
        <v>150</v>
      </c>
      <c r="G55" s="155">
        <f ca="1">IF($A55="","",(VLOOKUP($A55,master_food_list,'Master Food List'!S$91,FALSE)))</f>
        <v>0</v>
      </c>
    </row>
    <row r="56" spans="1:7" ht="17" x14ac:dyDescent="0.2">
      <c r="A56" s="185" t="s">
        <v>376</v>
      </c>
      <c r="B56" s="154">
        <f t="shared" ref="B56:G56" ca="1" si="7">SUM(B54:B55)</f>
        <v>520</v>
      </c>
      <c r="C56" s="154">
        <f t="shared" ca="1" si="7"/>
        <v>46.5</v>
      </c>
      <c r="D56" s="154">
        <f t="shared" ca="1" si="7"/>
        <v>16.5</v>
      </c>
      <c r="E56" s="154">
        <f t="shared" ca="1" si="7"/>
        <v>30.5</v>
      </c>
      <c r="F56" s="154">
        <f t="shared" ca="1" si="7"/>
        <v>770</v>
      </c>
      <c r="G56" s="154">
        <f t="shared" ca="1" si="7"/>
        <v>0</v>
      </c>
    </row>
    <row r="57" spans="1:7" x14ac:dyDescent="0.2">
      <c r="A57" s="186"/>
      <c r="B57" s="153"/>
      <c r="C57" s="153"/>
      <c r="D57" s="153"/>
      <c r="E57" s="153"/>
      <c r="F57" s="153"/>
      <c r="G57" s="153"/>
    </row>
  </sheetData>
  <mergeCells count="1">
    <mergeCell ref="A1:G1"/>
  </mergeCell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'Master Food List'!$A:$A</xm:f>
          </x14:formula1>
          <xm:sqref>A54:A55 A35:A36 A29:A30 A5:A12 A17:A18 A23:A24 A41:A43 A48:A49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4EA2B-66C5-5044-9634-D5225E2AEFC5}">
  <sheetPr>
    <pageSetUpPr fitToPage="1"/>
  </sheetPr>
  <dimension ref="A1:T232"/>
  <sheetViews>
    <sheetView zoomScaleNormal="100" zoomScalePageLayoutView="90" workbookViewId="0">
      <selection activeCell="A2" sqref="A2"/>
    </sheetView>
  </sheetViews>
  <sheetFormatPr baseColWidth="10" defaultColWidth="10.6640625" defaultRowHeight="16" x14ac:dyDescent="0.2"/>
  <cols>
    <col min="1" max="1" width="30" style="349" customWidth="1"/>
    <col min="2" max="2" width="8.33203125" style="131" bestFit="1" customWidth="1"/>
    <col min="3" max="3" width="7.1640625" style="131" customWidth="1"/>
    <col min="4" max="4" width="6.1640625" style="131" bestFit="1" customWidth="1"/>
    <col min="5" max="5" width="9.5" style="350" bestFit="1" customWidth="1"/>
    <col min="6" max="6" width="10.5" style="350" bestFit="1" customWidth="1"/>
    <col min="7" max="7" width="18.33203125" style="350" bestFit="1" customWidth="1"/>
    <col min="8" max="8" width="9.5" style="351" customWidth="1"/>
    <col min="9" max="9" width="11.1640625" style="351" bestFit="1" customWidth="1"/>
    <col min="10" max="10" width="28.33203125" style="352" bestFit="1" customWidth="1"/>
    <col min="11" max="11" width="16" style="351" customWidth="1"/>
    <col min="12" max="12" width="66.83203125" style="351" bestFit="1" customWidth="1"/>
    <col min="13" max="13" width="13.83203125" style="350" customWidth="1"/>
    <col min="14" max="14" width="13.6640625" style="350" customWidth="1"/>
    <col min="15" max="15" width="10.6640625" style="350"/>
    <col min="16" max="16" width="15.83203125" style="350" customWidth="1"/>
    <col min="17" max="16384" width="10.6640625" style="351"/>
  </cols>
  <sheetData>
    <row r="1" spans="1:20" ht="56" customHeight="1" x14ac:dyDescent="0.2">
      <c r="A1" s="448" t="s">
        <v>1326</v>
      </c>
      <c r="B1" s="448"/>
      <c r="C1" s="448"/>
      <c r="D1" s="448"/>
      <c r="E1" s="448"/>
      <c r="F1" s="448"/>
      <c r="G1" s="448"/>
      <c r="H1" s="448"/>
      <c r="I1" s="448"/>
      <c r="J1" s="448"/>
      <c r="K1" s="448"/>
      <c r="L1" s="448"/>
      <c r="M1" s="448"/>
      <c r="N1" s="448"/>
      <c r="O1" s="448"/>
      <c r="P1" s="448"/>
    </row>
    <row r="3" spans="1:20" x14ac:dyDescent="0.2">
      <c r="M3" s="456" t="s">
        <v>763</v>
      </c>
      <c r="N3" s="456"/>
    </row>
    <row r="4" spans="1:20" ht="17" x14ac:dyDescent="0.2">
      <c r="A4" s="349" t="s">
        <v>465</v>
      </c>
      <c r="B4" s="131" t="s">
        <v>764</v>
      </c>
      <c r="C4" s="131" t="s">
        <v>765</v>
      </c>
      <c r="D4" s="131" t="s">
        <v>766</v>
      </c>
      <c r="E4" s="350" t="s">
        <v>767</v>
      </c>
      <c r="F4" s="350" t="s">
        <v>768</v>
      </c>
      <c r="G4" s="350" t="s">
        <v>551</v>
      </c>
      <c r="H4" s="351" t="s">
        <v>769</v>
      </c>
      <c r="I4" s="351" t="s">
        <v>770</v>
      </c>
      <c r="J4" s="352" t="s">
        <v>771</v>
      </c>
      <c r="K4" s="351" t="s">
        <v>772</v>
      </c>
      <c r="L4" s="351" t="s">
        <v>375</v>
      </c>
      <c r="M4" s="350" t="s">
        <v>773</v>
      </c>
      <c r="N4" s="350" t="s">
        <v>380</v>
      </c>
      <c r="O4" s="350" t="s">
        <v>552</v>
      </c>
      <c r="P4" s="350" t="s">
        <v>774</v>
      </c>
    </row>
    <row r="5" spans="1:20" ht="17" x14ac:dyDescent="0.2">
      <c r="A5" s="354" t="s">
        <v>775</v>
      </c>
      <c r="B5" s="355" t="s">
        <v>776</v>
      </c>
      <c r="C5" s="355"/>
      <c r="D5" s="355" t="s">
        <v>776</v>
      </c>
      <c r="E5" s="356" t="s">
        <v>777</v>
      </c>
      <c r="F5" s="356" t="s">
        <v>778</v>
      </c>
      <c r="G5" s="356" t="s">
        <v>775</v>
      </c>
      <c r="H5" s="357"/>
      <c r="I5" s="357" t="s">
        <v>779</v>
      </c>
      <c r="J5" s="358"/>
      <c r="K5" s="357"/>
      <c r="L5" s="357" t="s">
        <v>780</v>
      </c>
      <c r="M5" s="356">
        <v>4</v>
      </c>
      <c r="N5" s="356">
        <v>12</v>
      </c>
      <c r="O5" s="356">
        <v>1</v>
      </c>
      <c r="P5" s="356">
        <f t="shared" ref="P5:P10" si="0">O5*((M5*16)+N5)</f>
        <v>76</v>
      </c>
    </row>
    <row r="6" spans="1:20" ht="17" x14ac:dyDescent="0.2">
      <c r="A6" s="359" t="s">
        <v>781</v>
      </c>
      <c r="B6" s="360" t="s">
        <v>776</v>
      </c>
      <c r="C6" s="360"/>
      <c r="D6" s="360" t="s">
        <v>776</v>
      </c>
      <c r="E6" s="361" t="s">
        <v>777</v>
      </c>
      <c r="F6" s="361" t="s">
        <v>778</v>
      </c>
      <c r="G6" s="361" t="s">
        <v>782</v>
      </c>
      <c r="H6" s="362" t="s">
        <v>783</v>
      </c>
      <c r="I6" s="362" t="s">
        <v>779</v>
      </c>
      <c r="J6" s="363"/>
      <c r="K6" s="362" t="s">
        <v>784</v>
      </c>
      <c r="L6" s="364" t="s">
        <v>785</v>
      </c>
      <c r="M6" s="361">
        <v>0</v>
      </c>
      <c r="N6" s="361">
        <v>7.25</v>
      </c>
      <c r="O6" s="361">
        <v>1</v>
      </c>
      <c r="P6" s="365">
        <f t="shared" si="0"/>
        <v>7.25</v>
      </c>
      <c r="Q6" s="357"/>
    </row>
    <row r="7" spans="1:20" s="367" customFormat="1" ht="17" x14ac:dyDescent="0.2">
      <c r="A7" s="354" t="s">
        <v>786</v>
      </c>
      <c r="B7" s="355" t="s">
        <v>776</v>
      </c>
      <c r="C7" s="355"/>
      <c r="D7" s="355" t="s">
        <v>776</v>
      </c>
      <c r="E7" s="356" t="s">
        <v>777</v>
      </c>
      <c r="F7" s="356" t="s">
        <v>778</v>
      </c>
      <c r="G7" s="356" t="s">
        <v>782</v>
      </c>
      <c r="H7" s="357" t="s">
        <v>783</v>
      </c>
      <c r="I7" s="357" t="s">
        <v>779</v>
      </c>
      <c r="J7" s="358" t="s">
        <v>787</v>
      </c>
      <c r="K7" s="357" t="s">
        <v>788</v>
      </c>
      <c r="L7" s="366" t="s">
        <v>789</v>
      </c>
      <c r="M7" s="356">
        <v>0</v>
      </c>
      <c r="N7" s="356">
        <f>6+3/8</f>
        <v>6.375</v>
      </c>
      <c r="O7" s="356">
        <v>1</v>
      </c>
      <c r="P7" s="356">
        <f t="shared" si="0"/>
        <v>6.375</v>
      </c>
      <c r="Q7" s="357"/>
      <c r="R7" s="357"/>
      <c r="S7" s="357"/>
      <c r="T7" s="357"/>
    </row>
    <row r="8" spans="1:20" s="357" customFormat="1" ht="17" x14ac:dyDescent="0.2">
      <c r="A8" s="354" t="s">
        <v>790</v>
      </c>
      <c r="B8" s="355" t="s">
        <v>776</v>
      </c>
      <c r="C8" s="355"/>
      <c r="D8" s="355" t="s">
        <v>776</v>
      </c>
      <c r="E8" s="356" t="s">
        <v>777</v>
      </c>
      <c r="F8" s="356" t="s">
        <v>778</v>
      </c>
      <c r="G8" s="356" t="s">
        <v>782</v>
      </c>
      <c r="H8" s="357" t="s">
        <v>783</v>
      </c>
      <c r="I8" s="357" t="s">
        <v>779</v>
      </c>
      <c r="J8" s="358" t="s">
        <v>791</v>
      </c>
      <c r="K8" s="357" t="s">
        <v>788</v>
      </c>
      <c r="L8" s="357" t="s">
        <v>792</v>
      </c>
      <c r="M8" s="356">
        <v>0</v>
      </c>
      <c r="N8" s="356">
        <f>5+3/8</f>
        <v>5.375</v>
      </c>
      <c r="O8" s="356">
        <v>1</v>
      </c>
      <c r="P8" s="356">
        <f t="shared" si="0"/>
        <v>5.375</v>
      </c>
      <c r="Q8" s="356"/>
    </row>
    <row r="9" spans="1:20" s="367" customFormat="1" ht="17" x14ac:dyDescent="0.2">
      <c r="A9" s="354" t="s">
        <v>793</v>
      </c>
      <c r="B9" s="355" t="s">
        <v>776</v>
      </c>
      <c r="C9" s="355"/>
      <c r="D9" s="355" t="s">
        <v>776</v>
      </c>
      <c r="E9" s="356" t="s">
        <v>777</v>
      </c>
      <c r="F9" s="356" t="s">
        <v>778</v>
      </c>
      <c r="G9" s="356" t="s">
        <v>782</v>
      </c>
      <c r="H9" s="357" t="s">
        <v>783</v>
      </c>
      <c r="I9" s="357" t="s">
        <v>794</v>
      </c>
      <c r="J9" s="358" t="s">
        <v>791</v>
      </c>
      <c r="K9" s="357" t="s">
        <v>788</v>
      </c>
      <c r="L9" s="368" t="s">
        <v>795</v>
      </c>
      <c r="M9" s="356">
        <v>0</v>
      </c>
      <c r="N9" s="356">
        <f>8+3/4</f>
        <v>8.75</v>
      </c>
      <c r="O9" s="356">
        <v>1</v>
      </c>
      <c r="P9" s="356">
        <f t="shared" si="0"/>
        <v>8.75</v>
      </c>
      <c r="Q9" s="351"/>
      <c r="R9" s="357"/>
      <c r="S9" s="357"/>
      <c r="T9" s="357"/>
    </row>
    <row r="10" spans="1:20" ht="17" x14ac:dyDescent="0.2">
      <c r="A10" s="354" t="s">
        <v>796</v>
      </c>
      <c r="B10" s="355" t="s">
        <v>776</v>
      </c>
      <c r="C10" s="355"/>
      <c r="D10" s="355" t="s">
        <v>776</v>
      </c>
      <c r="E10" s="356" t="s">
        <v>777</v>
      </c>
      <c r="F10" s="356" t="s">
        <v>778</v>
      </c>
      <c r="G10" s="356" t="s">
        <v>782</v>
      </c>
      <c r="H10" s="357" t="s">
        <v>783</v>
      </c>
      <c r="I10" s="357" t="s">
        <v>779</v>
      </c>
      <c r="J10" s="358" t="s">
        <v>791</v>
      </c>
      <c r="K10" s="357" t="s">
        <v>788</v>
      </c>
      <c r="L10" s="357" t="s">
        <v>797</v>
      </c>
      <c r="M10" s="356">
        <v>0</v>
      </c>
      <c r="N10" s="356">
        <f>2+(7/8)</f>
        <v>2.875</v>
      </c>
      <c r="O10" s="356">
        <v>1</v>
      </c>
      <c r="P10" s="356">
        <f t="shared" si="0"/>
        <v>2.875</v>
      </c>
      <c r="Q10" s="357"/>
      <c r="R10" s="357"/>
      <c r="S10" s="357"/>
      <c r="T10" s="357"/>
    </row>
    <row r="11" spans="1:20" s="369" customFormat="1" ht="17" x14ac:dyDescent="0.2">
      <c r="A11" s="354" t="s">
        <v>798</v>
      </c>
      <c r="B11" s="355" t="s">
        <v>776</v>
      </c>
      <c r="C11" s="355"/>
      <c r="D11" s="355" t="s">
        <v>776</v>
      </c>
      <c r="E11" s="356" t="s">
        <v>777</v>
      </c>
      <c r="F11" s="356" t="s">
        <v>778</v>
      </c>
      <c r="G11" s="356" t="s">
        <v>782</v>
      </c>
      <c r="H11" s="357" t="s">
        <v>783</v>
      </c>
      <c r="I11" s="357" t="s">
        <v>779</v>
      </c>
      <c r="J11" s="358" t="s">
        <v>791</v>
      </c>
      <c r="K11" s="357" t="s">
        <v>788</v>
      </c>
      <c r="L11" s="357" t="s">
        <v>799</v>
      </c>
      <c r="M11" s="356">
        <v>0</v>
      </c>
      <c r="N11" s="356">
        <v>2.375</v>
      </c>
      <c r="O11" s="356">
        <v>1</v>
      </c>
      <c r="P11" s="356">
        <v>2.375</v>
      </c>
    </row>
    <row r="12" spans="1:20" s="367" customFormat="1" ht="17" x14ac:dyDescent="0.2">
      <c r="A12" s="354" t="s">
        <v>800</v>
      </c>
      <c r="B12" s="355" t="s">
        <v>776</v>
      </c>
      <c r="C12" s="355"/>
      <c r="D12" s="355" t="s">
        <v>776</v>
      </c>
      <c r="E12" s="356" t="s">
        <v>777</v>
      </c>
      <c r="F12" s="356" t="s">
        <v>778</v>
      </c>
      <c r="G12" s="356" t="s">
        <v>782</v>
      </c>
      <c r="H12" s="357" t="s">
        <v>783</v>
      </c>
      <c r="I12" s="357" t="s">
        <v>779</v>
      </c>
      <c r="J12" s="358" t="s">
        <v>791</v>
      </c>
      <c r="K12" s="357" t="s">
        <v>788</v>
      </c>
      <c r="L12" s="357" t="s">
        <v>801</v>
      </c>
      <c r="M12" s="356">
        <v>0</v>
      </c>
      <c r="N12" s="356">
        <f>1+(1/8)</f>
        <v>1.125</v>
      </c>
      <c r="O12" s="356">
        <v>1</v>
      </c>
      <c r="P12" s="356">
        <f t="shared" ref="P12:P75" si="1">O12*((M12*16)+N12)</f>
        <v>1.125</v>
      </c>
      <c r="Q12" s="357"/>
      <c r="R12" s="357"/>
      <c r="S12" s="357"/>
      <c r="T12" s="357"/>
    </row>
    <row r="13" spans="1:20" ht="17" x14ac:dyDescent="0.2">
      <c r="A13" s="354" t="s">
        <v>802</v>
      </c>
      <c r="B13" s="355" t="s">
        <v>776</v>
      </c>
      <c r="C13" s="355"/>
      <c r="D13" s="355" t="s">
        <v>776</v>
      </c>
      <c r="E13" s="356" t="s">
        <v>777</v>
      </c>
      <c r="F13" s="356" t="s">
        <v>778</v>
      </c>
      <c r="G13" s="356" t="s">
        <v>782</v>
      </c>
      <c r="H13" s="357" t="s">
        <v>783</v>
      </c>
      <c r="I13" s="357" t="s">
        <v>779</v>
      </c>
      <c r="J13" s="358" t="s">
        <v>791</v>
      </c>
      <c r="K13" s="357" t="s">
        <v>788</v>
      </c>
      <c r="L13" s="370" t="s">
        <v>803</v>
      </c>
      <c r="M13" s="356">
        <v>0</v>
      </c>
      <c r="N13" s="356">
        <f>1+(7/8)</f>
        <v>1.875</v>
      </c>
      <c r="O13" s="356">
        <v>1</v>
      </c>
      <c r="P13" s="356">
        <f t="shared" si="1"/>
        <v>1.875</v>
      </c>
      <c r="Q13" s="357"/>
      <c r="R13" s="357"/>
      <c r="S13" s="357"/>
      <c r="T13" s="357"/>
    </row>
    <row r="14" spans="1:20" s="357" customFormat="1" ht="17" x14ac:dyDescent="0.2">
      <c r="A14" s="354" t="s">
        <v>804</v>
      </c>
      <c r="B14" s="355" t="s">
        <v>776</v>
      </c>
      <c r="C14" s="355"/>
      <c r="D14" s="355" t="s">
        <v>776</v>
      </c>
      <c r="E14" s="356" t="s">
        <v>777</v>
      </c>
      <c r="F14" s="356" t="s">
        <v>778</v>
      </c>
      <c r="G14" s="356" t="s">
        <v>782</v>
      </c>
      <c r="H14" s="357" t="s">
        <v>805</v>
      </c>
      <c r="I14" s="357" t="s">
        <v>794</v>
      </c>
      <c r="J14" s="358" t="s">
        <v>806</v>
      </c>
      <c r="K14" s="357" t="s">
        <v>807</v>
      </c>
      <c r="L14" s="357" t="s">
        <v>808</v>
      </c>
      <c r="M14" s="356">
        <v>0</v>
      </c>
      <c r="N14" s="356">
        <f>3+(7/8)</f>
        <v>3.875</v>
      </c>
      <c r="O14" s="356">
        <v>1</v>
      </c>
      <c r="P14" s="356">
        <f t="shared" si="1"/>
        <v>3.875</v>
      </c>
    </row>
    <row r="15" spans="1:20" ht="17" x14ac:dyDescent="0.2">
      <c r="A15" s="354" t="s">
        <v>809</v>
      </c>
      <c r="B15" s="355" t="s">
        <v>776</v>
      </c>
      <c r="C15" s="355"/>
      <c r="D15" s="355" t="s">
        <v>776</v>
      </c>
      <c r="E15" s="356" t="s">
        <v>777</v>
      </c>
      <c r="F15" s="356" t="s">
        <v>810</v>
      </c>
      <c r="G15" s="356" t="s">
        <v>782</v>
      </c>
      <c r="H15" s="357" t="s">
        <v>805</v>
      </c>
      <c r="I15" s="357" t="s">
        <v>794</v>
      </c>
      <c r="J15" s="358" t="s">
        <v>806</v>
      </c>
      <c r="K15" s="357" t="s">
        <v>807</v>
      </c>
      <c r="L15" s="357" t="s">
        <v>811</v>
      </c>
      <c r="M15" s="356">
        <v>0</v>
      </c>
      <c r="N15" s="356">
        <v>4.5</v>
      </c>
      <c r="O15" s="356">
        <v>1</v>
      </c>
      <c r="P15" s="356">
        <f t="shared" si="1"/>
        <v>4.5</v>
      </c>
      <c r="Q15" s="362"/>
      <c r="R15" s="362"/>
      <c r="S15" s="362"/>
      <c r="T15" s="362"/>
    </row>
    <row r="16" spans="1:20" s="367" customFormat="1" ht="17" x14ac:dyDescent="0.2">
      <c r="A16" s="354" t="s">
        <v>812</v>
      </c>
      <c r="B16" s="355" t="s">
        <v>776</v>
      </c>
      <c r="C16" s="355"/>
      <c r="D16" s="355" t="s">
        <v>776</v>
      </c>
      <c r="E16" s="356" t="s">
        <v>777</v>
      </c>
      <c r="F16" s="356" t="s">
        <v>778</v>
      </c>
      <c r="G16" s="356" t="s">
        <v>782</v>
      </c>
      <c r="H16" s="357" t="s">
        <v>805</v>
      </c>
      <c r="I16" s="357" t="s">
        <v>779</v>
      </c>
      <c r="J16" s="358" t="s">
        <v>806</v>
      </c>
      <c r="K16" s="357" t="s">
        <v>807</v>
      </c>
      <c r="L16" s="357" t="s">
        <v>813</v>
      </c>
      <c r="M16" s="356">
        <v>0</v>
      </c>
      <c r="N16" s="356">
        <v>3</v>
      </c>
      <c r="O16" s="356">
        <v>1</v>
      </c>
      <c r="P16" s="356">
        <f t="shared" si="1"/>
        <v>3</v>
      </c>
      <c r="Q16" s="357"/>
      <c r="R16" s="357"/>
      <c r="S16" s="357"/>
      <c r="T16" s="357"/>
    </row>
    <row r="17" spans="1:20" s="357" customFormat="1" ht="17" x14ac:dyDescent="0.2">
      <c r="A17" s="354" t="s">
        <v>814</v>
      </c>
      <c r="B17" s="355" t="s">
        <v>776</v>
      </c>
      <c r="C17" s="355"/>
      <c r="D17" s="355" t="s">
        <v>776</v>
      </c>
      <c r="E17" s="356" t="s">
        <v>777</v>
      </c>
      <c r="F17" s="356" t="s">
        <v>778</v>
      </c>
      <c r="G17" s="356" t="s">
        <v>782</v>
      </c>
      <c r="H17" s="357" t="s">
        <v>805</v>
      </c>
      <c r="I17" s="357" t="s">
        <v>779</v>
      </c>
      <c r="J17" s="358" t="s">
        <v>806</v>
      </c>
      <c r="K17" s="357" t="s">
        <v>807</v>
      </c>
      <c r="L17" s="371" t="s">
        <v>815</v>
      </c>
      <c r="M17" s="356">
        <v>0</v>
      </c>
      <c r="N17" s="356">
        <f>1+(1/8)</f>
        <v>1.125</v>
      </c>
      <c r="O17" s="356">
        <v>1</v>
      </c>
      <c r="P17" s="356">
        <f t="shared" si="1"/>
        <v>1.125</v>
      </c>
    </row>
    <row r="18" spans="1:20" s="357" customFormat="1" ht="17" x14ac:dyDescent="0.2">
      <c r="A18" s="354" t="s">
        <v>816</v>
      </c>
      <c r="B18" s="355" t="s">
        <v>776</v>
      </c>
      <c r="C18" s="355"/>
      <c r="D18" s="355" t="s">
        <v>776</v>
      </c>
      <c r="E18" s="356" t="s">
        <v>777</v>
      </c>
      <c r="F18" s="356" t="s">
        <v>810</v>
      </c>
      <c r="G18" s="356" t="s">
        <v>782</v>
      </c>
      <c r="H18" s="357" t="s">
        <v>817</v>
      </c>
      <c r="I18" s="357" t="s">
        <v>794</v>
      </c>
      <c r="J18" s="358"/>
      <c r="K18" s="357" t="s">
        <v>807</v>
      </c>
      <c r="L18" s="366" t="s">
        <v>818</v>
      </c>
      <c r="M18" s="356">
        <v>0</v>
      </c>
      <c r="N18" s="356">
        <f>5+(3/4)</f>
        <v>5.75</v>
      </c>
      <c r="O18" s="356">
        <v>1</v>
      </c>
      <c r="P18" s="356">
        <f t="shared" si="1"/>
        <v>5.75</v>
      </c>
    </row>
    <row r="19" spans="1:20" s="369" customFormat="1" ht="17" x14ac:dyDescent="0.2">
      <c r="A19" s="354" t="s">
        <v>819</v>
      </c>
      <c r="B19" s="355" t="s">
        <v>776</v>
      </c>
      <c r="C19" s="355"/>
      <c r="D19" s="355" t="s">
        <v>776</v>
      </c>
      <c r="E19" s="356" t="s">
        <v>777</v>
      </c>
      <c r="F19" s="356" t="s">
        <v>778</v>
      </c>
      <c r="G19" s="356" t="s">
        <v>782</v>
      </c>
      <c r="H19" s="357" t="s">
        <v>817</v>
      </c>
      <c r="I19" s="357" t="s">
        <v>779</v>
      </c>
      <c r="J19" s="358" t="s">
        <v>791</v>
      </c>
      <c r="K19" s="357" t="s">
        <v>788</v>
      </c>
      <c r="L19" s="354" t="s">
        <v>820</v>
      </c>
      <c r="M19" s="356">
        <v>0</v>
      </c>
      <c r="N19" s="356">
        <v>1.125</v>
      </c>
      <c r="O19" s="356">
        <v>1</v>
      </c>
      <c r="P19" s="356">
        <f t="shared" si="1"/>
        <v>1.125</v>
      </c>
    </row>
    <row r="20" spans="1:20" s="372" customFormat="1" ht="17" x14ac:dyDescent="0.2">
      <c r="A20" s="359" t="s">
        <v>821</v>
      </c>
      <c r="B20" s="360" t="s">
        <v>776</v>
      </c>
      <c r="C20" s="360"/>
      <c r="D20" s="360" t="s">
        <v>776</v>
      </c>
      <c r="E20" s="361" t="s">
        <v>777</v>
      </c>
      <c r="F20" s="361" t="s">
        <v>810</v>
      </c>
      <c r="G20" s="361" t="s">
        <v>822</v>
      </c>
      <c r="H20" s="362" t="s">
        <v>805</v>
      </c>
      <c r="I20" s="362" t="s">
        <v>779</v>
      </c>
      <c r="J20" s="363"/>
      <c r="K20" s="362" t="s">
        <v>823</v>
      </c>
      <c r="L20" s="364" t="s">
        <v>824</v>
      </c>
      <c r="M20" s="361">
        <v>0</v>
      </c>
      <c r="N20" s="361">
        <f>1+3/8</f>
        <v>1.375</v>
      </c>
      <c r="O20" s="361">
        <v>1</v>
      </c>
      <c r="P20" s="361">
        <f t="shared" si="1"/>
        <v>1.375</v>
      </c>
      <c r="Q20" s="357"/>
    </row>
    <row r="21" spans="1:20" s="357" customFormat="1" ht="17" x14ac:dyDescent="0.2">
      <c r="A21" s="354" t="s">
        <v>825</v>
      </c>
      <c r="B21" s="355"/>
      <c r="C21" s="355"/>
      <c r="D21" s="355" t="s">
        <v>776</v>
      </c>
      <c r="E21" s="356" t="s">
        <v>777</v>
      </c>
      <c r="F21" s="356" t="s">
        <v>810</v>
      </c>
      <c r="G21" s="356" t="s">
        <v>822</v>
      </c>
      <c r="H21" s="357" t="s">
        <v>805</v>
      </c>
      <c r="I21" s="357" t="s">
        <v>779</v>
      </c>
      <c r="J21" s="358"/>
      <c r="K21" s="357" t="s">
        <v>826</v>
      </c>
      <c r="L21" s="357" t="s">
        <v>827</v>
      </c>
      <c r="M21" s="356">
        <v>0</v>
      </c>
      <c r="N21" s="356">
        <f>8+(1/8)</f>
        <v>8.125</v>
      </c>
      <c r="O21" s="356">
        <v>1</v>
      </c>
      <c r="P21" s="356">
        <f t="shared" si="1"/>
        <v>8.125</v>
      </c>
    </row>
    <row r="22" spans="1:20" s="357" customFormat="1" ht="17" x14ac:dyDescent="0.2">
      <c r="A22" s="354" t="s">
        <v>828</v>
      </c>
      <c r="B22" s="355"/>
      <c r="C22" s="355"/>
      <c r="D22" s="355" t="s">
        <v>776</v>
      </c>
      <c r="E22" s="356" t="s">
        <v>777</v>
      </c>
      <c r="F22" s="356" t="s">
        <v>778</v>
      </c>
      <c r="G22" s="356" t="s">
        <v>822</v>
      </c>
      <c r="H22" s="357" t="s">
        <v>805</v>
      </c>
      <c r="I22" s="357" t="s">
        <v>794</v>
      </c>
      <c r="J22" s="358"/>
      <c r="K22" s="357" t="s">
        <v>826</v>
      </c>
      <c r="L22" s="366" t="s">
        <v>829</v>
      </c>
      <c r="M22" s="356">
        <v>0</v>
      </c>
      <c r="N22" s="356">
        <f>10+(1/2)</f>
        <v>10.5</v>
      </c>
      <c r="O22" s="356">
        <v>1</v>
      </c>
      <c r="P22" s="356">
        <f t="shared" si="1"/>
        <v>10.5</v>
      </c>
    </row>
    <row r="23" spans="1:20" s="357" customFormat="1" ht="17" x14ac:dyDescent="0.2">
      <c r="A23" s="354" t="s">
        <v>830</v>
      </c>
      <c r="B23" s="355"/>
      <c r="C23" s="355"/>
      <c r="D23" s="355" t="s">
        <v>776</v>
      </c>
      <c r="E23" s="356" t="s">
        <v>777</v>
      </c>
      <c r="F23" s="356" t="s">
        <v>778</v>
      </c>
      <c r="G23" s="356" t="s">
        <v>822</v>
      </c>
      <c r="H23" s="357" t="s">
        <v>805</v>
      </c>
      <c r="I23" s="357" t="s">
        <v>779</v>
      </c>
      <c r="J23" s="358"/>
      <c r="K23" s="357" t="s">
        <v>826</v>
      </c>
      <c r="L23" s="357" t="s">
        <v>831</v>
      </c>
      <c r="M23" s="356">
        <v>0</v>
      </c>
      <c r="N23" s="356">
        <f>2+(3/4)</f>
        <v>2.75</v>
      </c>
      <c r="O23" s="356">
        <v>1</v>
      </c>
      <c r="P23" s="356">
        <f t="shared" si="1"/>
        <v>2.75</v>
      </c>
    </row>
    <row r="24" spans="1:20" s="357" customFormat="1" ht="17" x14ac:dyDescent="0.2">
      <c r="A24" s="354" t="s">
        <v>832</v>
      </c>
      <c r="B24" s="355"/>
      <c r="C24" s="355"/>
      <c r="D24" s="355" t="s">
        <v>776</v>
      </c>
      <c r="E24" s="356" t="s">
        <v>777</v>
      </c>
      <c r="F24" s="356" t="s">
        <v>778</v>
      </c>
      <c r="G24" s="356" t="s">
        <v>822</v>
      </c>
      <c r="H24" s="357" t="s">
        <v>805</v>
      </c>
      <c r="I24" s="357" t="s">
        <v>779</v>
      </c>
      <c r="J24" s="358"/>
      <c r="K24" s="357" t="s">
        <v>826</v>
      </c>
      <c r="L24" s="366" t="s">
        <v>833</v>
      </c>
      <c r="M24" s="356">
        <v>0</v>
      </c>
      <c r="N24" s="356">
        <f>2+(3/8)</f>
        <v>2.375</v>
      </c>
      <c r="O24" s="356">
        <v>1</v>
      </c>
      <c r="P24" s="356">
        <f t="shared" si="1"/>
        <v>2.375</v>
      </c>
    </row>
    <row r="25" spans="1:20" ht="17" x14ac:dyDescent="0.2">
      <c r="A25" s="354" t="s">
        <v>834</v>
      </c>
      <c r="B25" s="355" t="s">
        <v>776</v>
      </c>
      <c r="C25" s="355"/>
      <c r="D25" s="355" t="s">
        <v>776</v>
      </c>
      <c r="E25" s="356" t="s">
        <v>777</v>
      </c>
      <c r="F25" s="356" t="s">
        <v>778</v>
      </c>
      <c r="G25" s="356" t="s">
        <v>822</v>
      </c>
      <c r="H25" s="357" t="s">
        <v>805</v>
      </c>
      <c r="I25" s="357" t="s">
        <v>794</v>
      </c>
      <c r="J25" s="358"/>
      <c r="K25" s="357" t="s">
        <v>826</v>
      </c>
      <c r="L25" s="357" t="s">
        <v>835</v>
      </c>
      <c r="M25" s="356">
        <v>0</v>
      </c>
      <c r="N25" s="356">
        <f>2+(5/8)</f>
        <v>2.625</v>
      </c>
      <c r="O25" s="356">
        <v>1</v>
      </c>
      <c r="P25" s="356">
        <f t="shared" si="1"/>
        <v>2.625</v>
      </c>
      <c r="Q25" s="357"/>
      <c r="R25" s="357"/>
      <c r="S25" s="357"/>
      <c r="T25" s="357"/>
    </row>
    <row r="26" spans="1:20" s="357" customFormat="1" ht="17" x14ac:dyDescent="0.2">
      <c r="A26" s="354" t="s">
        <v>836</v>
      </c>
      <c r="B26" s="355" t="s">
        <v>776</v>
      </c>
      <c r="C26" s="355"/>
      <c r="D26" s="355" t="s">
        <v>776</v>
      </c>
      <c r="E26" s="356" t="s">
        <v>777</v>
      </c>
      <c r="F26" s="356" t="s">
        <v>778</v>
      </c>
      <c r="G26" s="356" t="s">
        <v>822</v>
      </c>
      <c r="H26" s="357" t="s">
        <v>805</v>
      </c>
      <c r="I26" s="357" t="s">
        <v>779</v>
      </c>
      <c r="J26" s="358"/>
      <c r="K26" s="357" t="s">
        <v>826</v>
      </c>
      <c r="L26" s="371" t="s">
        <v>837</v>
      </c>
      <c r="M26" s="356">
        <v>0</v>
      </c>
      <c r="N26" s="356">
        <f>1+(1/8)</f>
        <v>1.125</v>
      </c>
      <c r="O26" s="356">
        <v>1</v>
      </c>
      <c r="P26" s="356">
        <f t="shared" si="1"/>
        <v>1.125</v>
      </c>
    </row>
    <row r="27" spans="1:20" s="375" customFormat="1" ht="17" x14ac:dyDescent="0.2">
      <c r="A27" s="373" t="s">
        <v>838</v>
      </c>
      <c r="B27" s="140"/>
      <c r="C27" s="140"/>
      <c r="D27" s="140" t="s">
        <v>776</v>
      </c>
      <c r="E27" s="374" t="s">
        <v>777</v>
      </c>
      <c r="F27" s="374" t="s">
        <v>778</v>
      </c>
      <c r="G27" s="374" t="s">
        <v>822</v>
      </c>
      <c r="H27" s="375" t="s">
        <v>805</v>
      </c>
      <c r="I27" s="375" t="s">
        <v>779</v>
      </c>
      <c r="J27" s="376"/>
      <c r="K27" s="375" t="s">
        <v>826</v>
      </c>
      <c r="L27" s="377" t="s">
        <v>839</v>
      </c>
      <c r="M27" s="374">
        <v>0</v>
      </c>
      <c r="N27" s="374">
        <v>2.25</v>
      </c>
      <c r="O27" s="374">
        <v>1</v>
      </c>
      <c r="P27" s="374">
        <f t="shared" si="1"/>
        <v>2.25</v>
      </c>
    </row>
    <row r="28" spans="1:20" ht="17" x14ac:dyDescent="0.2">
      <c r="A28" s="354" t="s">
        <v>840</v>
      </c>
      <c r="B28" s="355" t="s">
        <v>776</v>
      </c>
      <c r="C28" s="355"/>
      <c r="D28" s="355" t="s">
        <v>776</v>
      </c>
      <c r="E28" s="356" t="s">
        <v>777</v>
      </c>
      <c r="F28" s="356" t="s">
        <v>810</v>
      </c>
      <c r="G28" s="356" t="s">
        <v>822</v>
      </c>
      <c r="H28" s="357" t="s">
        <v>817</v>
      </c>
      <c r="I28" s="357" t="s">
        <v>794</v>
      </c>
      <c r="J28" s="358"/>
      <c r="K28" s="357" t="s">
        <v>826</v>
      </c>
      <c r="L28" s="366" t="s">
        <v>841</v>
      </c>
      <c r="M28" s="356">
        <v>0</v>
      </c>
      <c r="N28" s="356">
        <f>3/4</f>
        <v>0.75</v>
      </c>
      <c r="O28" s="356">
        <v>1</v>
      </c>
      <c r="P28" s="356">
        <f t="shared" si="1"/>
        <v>0.75</v>
      </c>
      <c r="Q28" s="357"/>
      <c r="R28" s="362"/>
      <c r="S28" s="362"/>
      <c r="T28" s="362"/>
    </row>
    <row r="29" spans="1:20" s="357" customFormat="1" ht="17" x14ac:dyDescent="0.2">
      <c r="A29" s="354" t="s">
        <v>842</v>
      </c>
      <c r="B29" s="355" t="s">
        <v>776</v>
      </c>
      <c r="C29" s="355"/>
      <c r="D29" s="355" t="s">
        <v>776</v>
      </c>
      <c r="E29" s="356" t="s">
        <v>777</v>
      </c>
      <c r="F29" s="356" t="s">
        <v>810</v>
      </c>
      <c r="G29" s="356" t="s">
        <v>822</v>
      </c>
      <c r="H29" s="357" t="s">
        <v>817</v>
      </c>
      <c r="I29" s="357" t="s">
        <v>794</v>
      </c>
      <c r="J29" s="358"/>
      <c r="K29" s="357" t="s">
        <v>826</v>
      </c>
      <c r="L29" s="366" t="s">
        <v>843</v>
      </c>
      <c r="M29" s="356">
        <v>0</v>
      </c>
      <c r="N29" s="356">
        <f>2+(5/8)</f>
        <v>2.625</v>
      </c>
      <c r="O29" s="356">
        <v>1</v>
      </c>
      <c r="P29" s="356">
        <f t="shared" si="1"/>
        <v>2.625</v>
      </c>
    </row>
    <row r="30" spans="1:20" s="375" customFormat="1" ht="17" x14ac:dyDescent="0.2">
      <c r="A30" s="373" t="s">
        <v>844</v>
      </c>
      <c r="B30" s="140"/>
      <c r="C30" s="140"/>
      <c r="D30" s="140" t="s">
        <v>776</v>
      </c>
      <c r="E30" s="374" t="s">
        <v>777</v>
      </c>
      <c r="F30" s="374" t="s">
        <v>778</v>
      </c>
      <c r="G30" s="374" t="s">
        <v>845</v>
      </c>
      <c r="J30" s="376"/>
      <c r="K30" s="375" t="s">
        <v>846</v>
      </c>
      <c r="L30" s="375" t="s">
        <v>847</v>
      </c>
      <c r="M30" s="374">
        <v>0</v>
      </c>
      <c r="N30" s="374">
        <f>6+(1/8)</f>
        <v>6.125</v>
      </c>
      <c r="O30" s="374">
        <v>1</v>
      </c>
      <c r="P30" s="374">
        <f t="shared" si="1"/>
        <v>6.125</v>
      </c>
    </row>
    <row r="31" spans="1:20" s="357" customFormat="1" ht="17" x14ac:dyDescent="0.2">
      <c r="A31" s="354" t="s">
        <v>848</v>
      </c>
      <c r="B31" s="355" t="s">
        <v>776</v>
      </c>
      <c r="C31" s="355"/>
      <c r="D31" s="355" t="s">
        <v>776</v>
      </c>
      <c r="E31" s="356" t="s">
        <v>777</v>
      </c>
      <c r="F31" s="356" t="s">
        <v>810</v>
      </c>
      <c r="G31" s="356" t="s">
        <v>845</v>
      </c>
      <c r="J31" s="358" t="s">
        <v>849</v>
      </c>
      <c r="K31" s="357" t="s">
        <v>807</v>
      </c>
      <c r="L31" s="357" t="s">
        <v>850</v>
      </c>
      <c r="M31" s="356">
        <v>0</v>
      </c>
      <c r="N31" s="356">
        <v>1</v>
      </c>
      <c r="O31" s="356">
        <v>1</v>
      </c>
      <c r="P31" s="356">
        <f t="shared" si="1"/>
        <v>1</v>
      </c>
    </row>
    <row r="32" spans="1:20" s="357" customFormat="1" ht="17" x14ac:dyDescent="0.2">
      <c r="A32" s="354" t="s">
        <v>851</v>
      </c>
      <c r="B32" s="355" t="s">
        <v>776</v>
      </c>
      <c r="C32" s="355"/>
      <c r="D32" s="355" t="s">
        <v>776</v>
      </c>
      <c r="E32" s="356" t="s">
        <v>777</v>
      </c>
      <c r="F32" s="356" t="s">
        <v>778</v>
      </c>
      <c r="G32" s="356" t="s">
        <v>845</v>
      </c>
      <c r="J32" s="358" t="s">
        <v>852</v>
      </c>
      <c r="K32" s="357" t="s">
        <v>823</v>
      </c>
      <c r="L32" s="366" t="s">
        <v>853</v>
      </c>
      <c r="M32" s="356">
        <v>0</v>
      </c>
      <c r="N32" s="356">
        <f>5+3/4</f>
        <v>5.75</v>
      </c>
      <c r="O32" s="356">
        <v>1</v>
      </c>
      <c r="P32" s="356">
        <f t="shared" si="1"/>
        <v>5.75</v>
      </c>
      <c r="Q32" s="374"/>
    </row>
    <row r="33" spans="1:20" s="369" customFormat="1" ht="17" x14ac:dyDescent="0.2">
      <c r="A33" s="354" t="s">
        <v>854</v>
      </c>
      <c r="B33" s="355" t="s">
        <v>776</v>
      </c>
      <c r="C33" s="355"/>
      <c r="D33" s="355" t="s">
        <v>776</v>
      </c>
      <c r="E33" s="356" t="s">
        <v>777</v>
      </c>
      <c r="F33" s="356" t="s">
        <v>810</v>
      </c>
      <c r="G33" s="356" t="s">
        <v>845</v>
      </c>
      <c r="H33" s="357"/>
      <c r="I33" s="357"/>
      <c r="J33" s="358" t="s">
        <v>852</v>
      </c>
      <c r="K33" s="357" t="s">
        <v>823</v>
      </c>
      <c r="L33" s="366" t="s">
        <v>855</v>
      </c>
      <c r="M33" s="356">
        <v>0</v>
      </c>
      <c r="N33" s="356">
        <v>6</v>
      </c>
      <c r="O33" s="356">
        <v>1</v>
      </c>
      <c r="P33" s="356">
        <f t="shared" si="1"/>
        <v>6</v>
      </c>
    </row>
    <row r="34" spans="1:20" s="357" customFormat="1" ht="17" x14ac:dyDescent="0.2">
      <c r="A34" s="359" t="s">
        <v>856</v>
      </c>
      <c r="B34" s="360" t="s">
        <v>776</v>
      </c>
      <c r="C34" s="360"/>
      <c r="D34" s="360" t="s">
        <v>776</v>
      </c>
      <c r="E34" s="361" t="s">
        <v>777</v>
      </c>
      <c r="F34" s="361" t="s">
        <v>810</v>
      </c>
      <c r="G34" s="361" t="s">
        <v>845</v>
      </c>
      <c r="H34" s="362"/>
      <c r="I34" s="362"/>
      <c r="J34" s="363" t="s">
        <v>857</v>
      </c>
      <c r="K34" s="362" t="s">
        <v>823</v>
      </c>
      <c r="L34" s="364" t="s">
        <v>858</v>
      </c>
      <c r="M34" s="361">
        <v>0</v>
      </c>
      <c r="N34" s="361">
        <f>9+1/8</f>
        <v>9.125</v>
      </c>
      <c r="O34" s="361">
        <v>1</v>
      </c>
      <c r="P34" s="361">
        <f t="shared" si="1"/>
        <v>9.125</v>
      </c>
      <c r="R34" s="362"/>
      <c r="S34" s="362"/>
      <c r="T34" s="362"/>
    </row>
    <row r="35" spans="1:20" s="362" customFormat="1" ht="17" x14ac:dyDescent="0.2">
      <c r="A35" s="359" t="s">
        <v>859</v>
      </c>
      <c r="B35" s="360" t="s">
        <v>776</v>
      </c>
      <c r="C35" s="360"/>
      <c r="D35" s="360" t="s">
        <v>776</v>
      </c>
      <c r="E35" s="361" t="s">
        <v>777</v>
      </c>
      <c r="F35" s="361" t="s">
        <v>810</v>
      </c>
      <c r="G35" s="361" t="s">
        <v>845</v>
      </c>
      <c r="J35" s="363"/>
      <c r="K35" s="362" t="s">
        <v>823</v>
      </c>
      <c r="L35" s="364" t="s">
        <v>860</v>
      </c>
      <c r="M35" s="361">
        <v>0</v>
      </c>
      <c r="N35" s="361">
        <v>5</v>
      </c>
      <c r="O35" s="361">
        <v>1</v>
      </c>
      <c r="P35" s="361">
        <f t="shared" si="1"/>
        <v>5</v>
      </c>
      <c r="R35" s="375"/>
      <c r="S35" s="375"/>
      <c r="T35" s="375"/>
    </row>
    <row r="36" spans="1:20" s="357" customFormat="1" ht="17" x14ac:dyDescent="0.2">
      <c r="A36" s="354" t="s">
        <v>861</v>
      </c>
      <c r="B36" s="355"/>
      <c r="C36" s="355"/>
      <c r="D36" s="355" t="s">
        <v>776</v>
      </c>
      <c r="E36" s="356" t="s">
        <v>777</v>
      </c>
      <c r="F36" s="356" t="s">
        <v>778</v>
      </c>
      <c r="G36" s="356" t="s">
        <v>862</v>
      </c>
      <c r="H36" s="357" t="s">
        <v>817</v>
      </c>
      <c r="J36" s="358"/>
      <c r="K36" s="357" t="s">
        <v>826</v>
      </c>
      <c r="L36" s="366" t="s">
        <v>863</v>
      </c>
      <c r="M36" s="356">
        <v>2</v>
      </c>
      <c r="N36" s="356">
        <v>9</v>
      </c>
      <c r="O36" s="356">
        <v>1</v>
      </c>
      <c r="P36" s="356">
        <f t="shared" si="1"/>
        <v>41</v>
      </c>
    </row>
    <row r="37" spans="1:20" s="357" customFormat="1" ht="17" x14ac:dyDescent="0.2">
      <c r="A37" s="354" t="s">
        <v>864</v>
      </c>
      <c r="B37" s="355" t="s">
        <v>776</v>
      </c>
      <c r="C37" s="355"/>
      <c r="D37" s="355" t="s">
        <v>776</v>
      </c>
      <c r="E37" s="356" t="s">
        <v>777</v>
      </c>
      <c r="F37" s="356" t="s">
        <v>778</v>
      </c>
      <c r="G37" s="356" t="s">
        <v>862</v>
      </c>
      <c r="H37" s="357" t="s">
        <v>817</v>
      </c>
      <c r="J37" s="358"/>
      <c r="K37" s="357" t="s">
        <v>826</v>
      </c>
      <c r="L37" s="366" t="s">
        <v>865</v>
      </c>
      <c r="M37" s="356">
        <v>1</v>
      </c>
      <c r="N37" s="356">
        <v>2</v>
      </c>
      <c r="O37" s="356">
        <v>1</v>
      </c>
      <c r="P37" s="356">
        <f t="shared" si="1"/>
        <v>18</v>
      </c>
    </row>
    <row r="38" spans="1:20" s="362" customFormat="1" ht="17" x14ac:dyDescent="0.2">
      <c r="A38" s="378" t="s">
        <v>866</v>
      </c>
      <c r="B38" s="360" t="s">
        <v>776</v>
      </c>
      <c r="C38" s="360"/>
      <c r="D38" s="360" t="s">
        <v>776</v>
      </c>
      <c r="E38" s="360" t="s">
        <v>777</v>
      </c>
      <c r="F38" s="360" t="s">
        <v>778</v>
      </c>
      <c r="G38" s="360" t="s">
        <v>867</v>
      </c>
      <c r="H38" s="379"/>
      <c r="I38" s="379"/>
      <c r="J38" s="379"/>
      <c r="K38" s="379" t="s">
        <v>868</v>
      </c>
      <c r="L38" s="378" t="s">
        <v>869</v>
      </c>
      <c r="M38" s="360">
        <v>0</v>
      </c>
      <c r="N38" s="355">
        <f>2+(3/4)</f>
        <v>2.75</v>
      </c>
      <c r="O38" s="360">
        <v>1</v>
      </c>
      <c r="P38" s="356">
        <f t="shared" si="1"/>
        <v>2.75</v>
      </c>
      <c r="Q38" s="375"/>
      <c r="R38" s="357"/>
      <c r="S38" s="357"/>
      <c r="T38" s="357"/>
    </row>
    <row r="39" spans="1:20" s="357" customFormat="1" ht="17" x14ac:dyDescent="0.2">
      <c r="A39" s="354" t="s">
        <v>620</v>
      </c>
      <c r="B39" s="355" t="s">
        <v>776</v>
      </c>
      <c r="C39" s="355"/>
      <c r="D39" s="355" t="s">
        <v>776</v>
      </c>
      <c r="E39" s="356" t="s">
        <v>777</v>
      </c>
      <c r="F39" s="356" t="s">
        <v>870</v>
      </c>
      <c r="G39" s="356" t="s">
        <v>867</v>
      </c>
      <c r="J39" s="362" t="s">
        <v>871</v>
      </c>
      <c r="K39" s="357" t="s">
        <v>823</v>
      </c>
      <c r="L39" s="354" t="s">
        <v>620</v>
      </c>
      <c r="M39" s="356">
        <v>0</v>
      </c>
      <c r="N39" s="356">
        <f>1/8</f>
        <v>0.125</v>
      </c>
      <c r="O39" s="356">
        <v>1</v>
      </c>
      <c r="P39" s="356">
        <f t="shared" si="1"/>
        <v>0.125</v>
      </c>
      <c r="Q39" s="356"/>
      <c r="R39" s="362"/>
      <c r="S39" s="362"/>
      <c r="T39" s="362"/>
    </row>
    <row r="40" spans="1:20" s="357" customFormat="1" ht="17" x14ac:dyDescent="0.2">
      <c r="A40" s="359" t="s">
        <v>872</v>
      </c>
      <c r="B40" s="360" t="s">
        <v>776</v>
      </c>
      <c r="C40" s="360"/>
      <c r="D40" s="360" t="s">
        <v>776</v>
      </c>
      <c r="E40" s="361" t="s">
        <v>777</v>
      </c>
      <c r="F40" s="361" t="s">
        <v>778</v>
      </c>
      <c r="G40" s="361" t="s">
        <v>867</v>
      </c>
      <c r="H40" s="362"/>
      <c r="I40" s="362"/>
      <c r="J40" s="363" t="s">
        <v>871</v>
      </c>
      <c r="K40" s="362" t="s">
        <v>823</v>
      </c>
      <c r="L40" s="359" t="s">
        <v>872</v>
      </c>
      <c r="M40" s="361">
        <v>0</v>
      </c>
      <c r="N40" s="361">
        <f>1+7/8</f>
        <v>1.875</v>
      </c>
      <c r="O40" s="361">
        <v>1</v>
      </c>
      <c r="P40" s="361">
        <f t="shared" si="1"/>
        <v>1.875</v>
      </c>
      <c r="Q40" s="375"/>
    </row>
    <row r="41" spans="1:20" s="357" customFormat="1" ht="17" x14ac:dyDescent="0.2">
      <c r="A41" s="359" t="s">
        <v>564</v>
      </c>
      <c r="B41" s="360" t="s">
        <v>776</v>
      </c>
      <c r="C41" s="360"/>
      <c r="D41" s="360" t="s">
        <v>776</v>
      </c>
      <c r="E41" s="361" t="s">
        <v>777</v>
      </c>
      <c r="F41" s="361" t="s">
        <v>870</v>
      </c>
      <c r="G41" s="361" t="s">
        <v>867</v>
      </c>
      <c r="H41" s="362"/>
      <c r="I41" s="362"/>
      <c r="J41" s="363" t="s">
        <v>871</v>
      </c>
      <c r="K41" s="362" t="s">
        <v>823</v>
      </c>
      <c r="L41" s="359" t="s">
        <v>564</v>
      </c>
      <c r="M41" s="361">
        <v>0</v>
      </c>
      <c r="N41" s="361">
        <f>1+3/8</f>
        <v>1.375</v>
      </c>
      <c r="O41" s="361">
        <v>1</v>
      </c>
      <c r="P41" s="361">
        <f t="shared" si="1"/>
        <v>1.375</v>
      </c>
      <c r="R41" s="361"/>
      <c r="S41" s="362"/>
      <c r="T41" s="362"/>
    </row>
    <row r="42" spans="1:20" s="357" customFormat="1" ht="17" x14ac:dyDescent="0.2">
      <c r="A42" s="354" t="s">
        <v>873</v>
      </c>
      <c r="B42" s="355" t="s">
        <v>776</v>
      </c>
      <c r="C42" s="355"/>
      <c r="D42" s="355" t="s">
        <v>776</v>
      </c>
      <c r="E42" s="356" t="s">
        <v>777</v>
      </c>
      <c r="F42" s="356" t="s">
        <v>778</v>
      </c>
      <c r="G42" s="356" t="s">
        <v>867</v>
      </c>
      <c r="J42" s="358" t="s">
        <v>871</v>
      </c>
      <c r="K42" s="357" t="s">
        <v>823</v>
      </c>
      <c r="L42" s="366" t="s">
        <v>874</v>
      </c>
      <c r="M42" s="356">
        <v>0</v>
      </c>
      <c r="N42" s="356">
        <f>1/2</f>
        <v>0.5</v>
      </c>
      <c r="O42" s="356">
        <v>1</v>
      </c>
      <c r="P42" s="356">
        <f t="shared" si="1"/>
        <v>0.5</v>
      </c>
      <c r="Q42" s="361"/>
      <c r="R42" s="362"/>
      <c r="S42" s="362"/>
      <c r="T42" s="362"/>
    </row>
    <row r="43" spans="1:20" s="362" customFormat="1" ht="17" x14ac:dyDescent="0.2">
      <c r="A43" s="359" t="s">
        <v>875</v>
      </c>
      <c r="B43" s="360" t="s">
        <v>776</v>
      </c>
      <c r="C43" s="360"/>
      <c r="D43" s="360" t="s">
        <v>776</v>
      </c>
      <c r="E43" s="361" t="s">
        <v>777</v>
      </c>
      <c r="F43" s="361" t="s">
        <v>870</v>
      </c>
      <c r="G43" s="361" t="s">
        <v>867</v>
      </c>
      <c r="J43" s="363" t="s">
        <v>871</v>
      </c>
      <c r="K43" s="362" t="s">
        <v>823</v>
      </c>
      <c r="L43" s="359" t="s">
        <v>876</v>
      </c>
      <c r="M43" s="361">
        <v>0</v>
      </c>
      <c r="N43" s="361">
        <v>1</v>
      </c>
      <c r="O43" s="361">
        <v>1</v>
      </c>
      <c r="P43" s="361">
        <f t="shared" si="1"/>
        <v>1</v>
      </c>
      <c r="R43" s="356"/>
      <c r="S43" s="357"/>
      <c r="T43" s="357"/>
    </row>
    <row r="44" spans="1:20" s="357" customFormat="1" ht="17" x14ac:dyDescent="0.2">
      <c r="A44" s="354" t="s">
        <v>877</v>
      </c>
      <c r="B44" s="355"/>
      <c r="C44" s="355"/>
      <c r="D44" s="355" t="s">
        <v>776</v>
      </c>
      <c r="E44" s="356" t="s">
        <v>777</v>
      </c>
      <c r="F44" s="356" t="s">
        <v>778</v>
      </c>
      <c r="G44" s="356" t="s">
        <v>878</v>
      </c>
      <c r="J44" s="358"/>
      <c r="K44" s="357" t="s">
        <v>784</v>
      </c>
      <c r="L44" s="357" t="s">
        <v>879</v>
      </c>
      <c r="M44" s="356">
        <v>2</v>
      </c>
      <c r="N44" s="356">
        <f>3+(7/25)</f>
        <v>3.2800000000000002</v>
      </c>
      <c r="O44" s="380">
        <v>2</v>
      </c>
      <c r="P44" s="381">
        <f t="shared" si="1"/>
        <v>70.56</v>
      </c>
      <c r="Q44" s="356"/>
      <c r="R44" s="356"/>
    </row>
    <row r="45" spans="1:20" ht="17" x14ac:dyDescent="0.2">
      <c r="A45" s="373" t="s">
        <v>555</v>
      </c>
      <c r="B45" s="140" t="s">
        <v>776</v>
      </c>
      <c r="C45" s="140"/>
      <c r="D45" s="140" t="s">
        <v>776</v>
      </c>
      <c r="E45" s="374" t="s">
        <v>777</v>
      </c>
      <c r="F45" s="374" t="s">
        <v>778</v>
      </c>
      <c r="G45" s="374" t="s">
        <v>878</v>
      </c>
      <c r="H45" s="375"/>
      <c r="I45" s="375"/>
      <c r="J45" s="376"/>
      <c r="K45" s="375" t="s">
        <v>807</v>
      </c>
      <c r="L45" s="375" t="s">
        <v>880</v>
      </c>
      <c r="M45" s="374">
        <v>13</v>
      </c>
      <c r="N45" s="374">
        <v>0</v>
      </c>
      <c r="O45" s="374">
        <v>1</v>
      </c>
      <c r="P45" s="374">
        <f t="shared" si="1"/>
        <v>208</v>
      </c>
      <c r="R45" s="350"/>
    </row>
    <row r="46" spans="1:20" ht="17" x14ac:dyDescent="0.2">
      <c r="A46" s="373" t="s">
        <v>881</v>
      </c>
      <c r="B46" s="140"/>
      <c r="C46" s="140"/>
      <c r="D46" s="140" t="s">
        <v>776</v>
      </c>
      <c r="E46" s="374" t="s">
        <v>777</v>
      </c>
      <c r="F46" s="374" t="s">
        <v>778</v>
      </c>
      <c r="G46" s="374" t="s">
        <v>878</v>
      </c>
      <c r="H46" s="375"/>
      <c r="I46" s="375"/>
      <c r="J46" s="376"/>
      <c r="K46" s="375" t="s">
        <v>807</v>
      </c>
      <c r="L46" s="375" t="s">
        <v>882</v>
      </c>
      <c r="M46" s="374">
        <v>0</v>
      </c>
      <c r="N46" s="374">
        <v>13.375</v>
      </c>
      <c r="O46" s="374">
        <v>1</v>
      </c>
      <c r="P46" s="374">
        <f t="shared" si="1"/>
        <v>13.375</v>
      </c>
      <c r="Q46" s="362"/>
      <c r="R46" s="361"/>
      <c r="S46" s="362"/>
      <c r="T46" s="362"/>
    </row>
    <row r="47" spans="1:20" ht="17" x14ac:dyDescent="0.2">
      <c r="A47" s="359" t="s">
        <v>883</v>
      </c>
      <c r="B47" s="360" t="s">
        <v>776</v>
      </c>
      <c r="C47" s="360"/>
      <c r="D47" s="360" t="s">
        <v>776</v>
      </c>
      <c r="E47" s="361" t="s">
        <v>777</v>
      </c>
      <c r="F47" s="361" t="s">
        <v>778</v>
      </c>
      <c r="G47" s="361" t="s">
        <v>562</v>
      </c>
      <c r="H47" s="362" t="s">
        <v>817</v>
      </c>
      <c r="I47" s="362"/>
      <c r="J47" s="363"/>
      <c r="K47" s="362" t="s">
        <v>823</v>
      </c>
      <c r="L47" s="364" t="s">
        <v>884</v>
      </c>
      <c r="M47" s="361">
        <v>0</v>
      </c>
      <c r="N47" s="361">
        <f>7/8</f>
        <v>0.875</v>
      </c>
      <c r="O47" s="361">
        <v>1</v>
      </c>
      <c r="P47" s="361">
        <f t="shared" si="1"/>
        <v>0.875</v>
      </c>
      <c r="Q47" s="361"/>
      <c r="R47" s="361"/>
      <c r="S47" s="362"/>
      <c r="T47" s="362"/>
    </row>
    <row r="48" spans="1:20" s="372" customFormat="1" ht="17" x14ac:dyDescent="0.2">
      <c r="A48" s="359" t="s">
        <v>885</v>
      </c>
      <c r="B48" s="360" t="s">
        <v>776</v>
      </c>
      <c r="C48" s="360"/>
      <c r="D48" s="360" t="s">
        <v>776</v>
      </c>
      <c r="E48" s="361" t="s">
        <v>777</v>
      </c>
      <c r="F48" s="361" t="s">
        <v>778</v>
      </c>
      <c r="G48" s="361" t="s">
        <v>562</v>
      </c>
      <c r="H48" s="362"/>
      <c r="I48" s="362"/>
      <c r="J48" s="363"/>
      <c r="K48" s="362" t="s">
        <v>784</v>
      </c>
      <c r="L48" s="364" t="s">
        <v>886</v>
      </c>
      <c r="M48" s="361">
        <v>0</v>
      </c>
      <c r="N48" s="361">
        <f>4+(5/8)</f>
        <v>4.625</v>
      </c>
      <c r="O48" s="361">
        <v>1</v>
      </c>
      <c r="P48" s="361">
        <f t="shared" si="1"/>
        <v>4.625</v>
      </c>
      <c r="Q48" s="374"/>
    </row>
    <row r="49" spans="1:20" s="357" customFormat="1" ht="17" x14ac:dyDescent="0.2">
      <c r="A49" s="354" t="s">
        <v>887</v>
      </c>
      <c r="B49" s="355" t="s">
        <v>776</v>
      </c>
      <c r="C49" s="355"/>
      <c r="D49" s="355" t="s">
        <v>776</v>
      </c>
      <c r="E49" s="356" t="s">
        <v>777</v>
      </c>
      <c r="F49" s="356" t="s">
        <v>778</v>
      </c>
      <c r="G49" s="356" t="s">
        <v>562</v>
      </c>
      <c r="J49" s="358"/>
      <c r="K49" s="357" t="s">
        <v>784</v>
      </c>
      <c r="L49" s="357" t="s">
        <v>888</v>
      </c>
      <c r="M49" s="356">
        <v>0</v>
      </c>
      <c r="N49" s="356">
        <f>1+(1/8)</f>
        <v>1.125</v>
      </c>
      <c r="O49" s="356">
        <v>1</v>
      </c>
      <c r="P49" s="356">
        <f t="shared" si="1"/>
        <v>1.125</v>
      </c>
      <c r="Q49" s="361"/>
    </row>
    <row r="50" spans="1:20" s="357" customFormat="1" ht="17" x14ac:dyDescent="0.2">
      <c r="A50" s="354" t="s">
        <v>889</v>
      </c>
      <c r="B50" s="355" t="s">
        <v>776</v>
      </c>
      <c r="C50" s="355"/>
      <c r="D50" s="355" t="s">
        <v>776</v>
      </c>
      <c r="E50" s="356" t="s">
        <v>777</v>
      </c>
      <c r="F50" s="356" t="s">
        <v>778</v>
      </c>
      <c r="G50" s="356" t="s">
        <v>562</v>
      </c>
      <c r="J50" s="358"/>
      <c r="K50" s="357" t="s">
        <v>784</v>
      </c>
      <c r="L50" s="357" t="s">
        <v>888</v>
      </c>
      <c r="M50" s="356">
        <v>0</v>
      </c>
      <c r="N50" s="356">
        <f>1+(1/8)</f>
        <v>1.125</v>
      </c>
      <c r="O50" s="356">
        <v>1</v>
      </c>
      <c r="P50" s="356">
        <f t="shared" si="1"/>
        <v>1.125</v>
      </c>
      <c r="R50" s="362"/>
      <c r="S50" s="362"/>
      <c r="T50" s="362"/>
    </row>
    <row r="51" spans="1:20" ht="17" x14ac:dyDescent="0.2">
      <c r="A51" s="354" t="s">
        <v>890</v>
      </c>
      <c r="B51" s="355" t="s">
        <v>776</v>
      </c>
      <c r="C51" s="355"/>
      <c r="D51" s="355" t="s">
        <v>776</v>
      </c>
      <c r="E51" s="356" t="s">
        <v>777</v>
      </c>
      <c r="F51" s="356" t="s">
        <v>870</v>
      </c>
      <c r="G51" s="356" t="s">
        <v>562</v>
      </c>
      <c r="H51" s="357"/>
      <c r="I51" s="357"/>
      <c r="J51" s="358"/>
      <c r="K51" s="357" t="s">
        <v>784</v>
      </c>
      <c r="L51" s="357" t="s">
        <v>891</v>
      </c>
      <c r="M51" s="356">
        <v>0</v>
      </c>
      <c r="N51" s="356">
        <v>0.5</v>
      </c>
      <c r="O51" s="356">
        <v>1</v>
      </c>
      <c r="P51" s="356">
        <f t="shared" si="1"/>
        <v>0.5</v>
      </c>
      <c r="Q51" s="362"/>
      <c r="R51" s="362"/>
      <c r="S51" s="362"/>
      <c r="T51" s="362"/>
    </row>
    <row r="52" spans="1:20" ht="17" x14ac:dyDescent="0.2">
      <c r="A52" s="359" t="s">
        <v>892</v>
      </c>
      <c r="B52" s="360" t="s">
        <v>776</v>
      </c>
      <c r="C52" s="360"/>
      <c r="D52" s="360" t="s">
        <v>776</v>
      </c>
      <c r="E52" s="361" t="s">
        <v>777</v>
      </c>
      <c r="F52" s="361" t="s">
        <v>778</v>
      </c>
      <c r="G52" s="361" t="s">
        <v>562</v>
      </c>
      <c r="H52" s="362"/>
      <c r="I52" s="362"/>
      <c r="J52" s="363"/>
      <c r="K52" s="362" t="s">
        <v>784</v>
      </c>
      <c r="L52" s="364" t="s">
        <v>893</v>
      </c>
      <c r="M52" s="361">
        <v>0</v>
      </c>
      <c r="N52" s="361">
        <v>0.5</v>
      </c>
      <c r="O52" s="361">
        <v>1</v>
      </c>
      <c r="P52" s="361">
        <f t="shared" si="1"/>
        <v>0.5</v>
      </c>
      <c r="Q52" s="362"/>
      <c r="R52" s="362"/>
      <c r="S52" s="362"/>
      <c r="T52" s="362"/>
    </row>
    <row r="53" spans="1:20" ht="17" x14ac:dyDescent="0.2">
      <c r="A53" s="359" t="s">
        <v>894</v>
      </c>
      <c r="B53" s="360" t="s">
        <v>776</v>
      </c>
      <c r="C53" s="360"/>
      <c r="D53" s="360" t="s">
        <v>776</v>
      </c>
      <c r="E53" s="361" t="s">
        <v>777</v>
      </c>
      <c r="F53" s="361" t="s">
        <v>778</v>
      </c>
      <c r="G53" s="361" t="s">
        <v>562</v>
      </c>
      <c r="H53" s="362"/>
      <c r="I53" s="362"/>
      <c r="J53" s="363"/>
      <c r="K53" s="362" t="s">
        <v>868</v>
      </c>
      <c r="L53" s="362" t="s">
        <v>895</v>
      </c>
      <c r="M53" s="361">
        <v>0</v>
      </c>
      <c r="N53" s="361">
        <v>2</v>
      </c>
      <c r="O53" s="361">
        <v>1</v>
      </c>
      <c r="P53" s="361">
        <f t="shared" si="1"/>
        <v>2</v>
      </c>
      <c r="Q53" s="360"/>
      <c r="R53" s="379"/>
      <c r="S53" s="379"/>
      <c r="T53" s="379"/>
    </row>
    <row r="54" spans="1:20" s="357" customFormat="1" ht="17" x14ac:dyDescent="0.2">
      <c r="A54" s="373" t="s">
        <v>896</v>
      </c>
      <c r="B54" s="140" t="s">
        <v>776</v>
      </c>
      <c r="C54" s="140"/>
      <c r="D54" s="140" t="s">
        <v>776</v>
      </c>
      <c r="E54" s="374" t="s">
        <v>777</v>
      </c>
      <c r="F54" s="374" t="s">
        <v>870</v>
      </c>
      <c r="G54" s="374" t="s">
        <v>562</v>
      </c>
      <c r="H54" s="375"/>
      <c r="I54" s="375"/>
      <c r="J54" s="376"/>
      <c r="K54" s="375" t="s">
        <v>807</v>
      </c>
      <c r="L54" s="382" t="s">
        <v>897</v>
      </c>
      <c r="M54" s="374">
        <v>2</v>
      </c>
      <c r="N54" s="374">
        <v>1</v>
      </c>
      <c r="O54" s="374">
        <v>1</v>
      </c>
      <c r="P54" s="374">
        <f t="shared" si="1"/>
        <v>33</v>
      </c>
      <c r="Q54" s="362"/>
      <c r="R54" s="362"/>
      <c r="S54" s="362"/>
      <c r="T54" s="362"/>
    </row>
    <row r="55" spans="1:20" ht="34" x14ac:dyDescent="0.2">
      <c r="A55" s="359" t="s">
        <v>898</v>
      </c>
      <c r="B55" s="360" t="s">
        <v>776</v>
      </c>
      <c r="C55" s="360"/>
      <c r="D55" s="360" t="s">
        <v>776</v>
      </c>
      <c r="E55" s="361" t="s">
        <v>777</v>
      </c>
      <c r="F55" s="361" t="s">
        <v>778</v>
      </c>
      <c r="G55" s="361" t="s">
        <v>562</v>
      </c>
      <c r="H55" s="362"/>
      <c r="I55" s="362"/>
      <c r="J55" s="363"/>
      <c r="K55" s="362" t="s">
        <v>807</v>
      </c>
      <c r="L55" s="383" t="s">
        <v>899</v>
      </c>
      <c r="M55" s="361">
        <v>0</v>
      </c>
      <c r="N55" s="361">
        <f>2+7/8</f>
        <v>2.875</v>
      </c>
      <c r="O55" s="361">
        <v>1</v>
      </c>
      <c r="P55" s="361">
        <f t="shared" si="1"/>
        <v>2.875</v>
      </c>
      <c r="Q55" s="361"/>
      <c r="R55" s="362"/>
      <c r="S55" s="362"/>
      <c r="T55" s="362"/>
    </row>
    <row r="56" spans="1:20" s="362" customFormat="1" ht="17" x14ac:dyDescent="0.2">
      <c r="A56" s="359" t="s">
        <v>900</v>
      </c>
      <c r="B56" s="360" t="s">
        <v>776</v>
      </c>
      <c r="C56" s="360"/>
      <c r="D56" s="360" t="s">
        <v>776</v>
      </c>
      <c r="E56" s="361" t="s">
        <v>777</v>
      </c>
      <c r="F56" s="361" t="s">
        <v>778</v>
      </c>
      <c r="G56" s="361" t="s">
        <v>562</v>
      </c>
      <c r="J56" s="363"/>
      <c r="K56" s="362" t="s">
        <v>807</v>
      </c>
      <c r="L56" s="362" t="s">
        <v>901</v>
      </c>
      <c r="M56" s="361">
        <v>0</v>
      </c>
      <c r="N56" s="361">
        <f>3/4</f>
        <v>0.75</v>
      </c>
      <c r="O56" s="361">
        <v>1</v>
      </c>
      <c r="P56" s="361">
        <f t="shared" si="1"/>
        <v>0.75</v>
      </c>
      <c r="Q56" s="357"/>
      <c r="R56" s="357"/>
      <c r="S56" s="357"/>
      <c r="T56" s="357"/>
    </row>
    <row r="57" spans="1:20" s="357" customFormat="1" ht="17" x14ac:dyDescent="0.2">
      <c r="A57" s="359" t="s">
        <v>902</v>
      </c>
      <c r="B57" s="355" t="s">
        <v>776</v>
      </c>
      <c r="C57" s="140"/>
      <c r="D57" s="360" t="s">
        <v>776</v>
      </c>
      <c r="E57" s="361" t="s">
        <v>777</v>
      </c>
      <c r="F57" s="361" t="s">
        <v>778</v>
      </c>
      <c r="G57" s="361" t="s">
        <v>562</v>
      </c>
      <c r="H57" s="362"/>
      <c r="I57" s="362"/>
      <c r="J57" s="363"/>
      <c r="K57" s="362" t="s">
        <v>807</v>
      </c>
      <c r="L57" s="362" t="s">
        <v>903</v>
      </c>
      <c r="M57" s="361">
        <v>0</v>
      </c>
      <c r="N57" s="361">
        <f>3/4</f>
        <v>0.75</v>
      </c>
      <c r="O57" s="361">
        <v>1</v>
      </c>
      <c r="P57" s="361">
        <f t="shared" si="1"/>
        <v>0.75</v>
      </c>
      <c r="Q57" s="361"/>
    </row>
    <row r="58" spans="1:20" s="357" customFormat="1" ht="17" x14ac:dyDescent="0.2">
      <c r="A58" s="354" t="s">
        <v>904</v>
      </c>
      <c r="B58" s="355" t="s">
        <v>776</v>
      </c>
      <c r="C58" s="355"/>
      <c r="D58" s="355" t="s">
        <v>776</v>
      </c>
      <c r="E58" s="356" t="s">
        <v>777</v>
      </c>
      <c r="F58" s="356" t="s">
        <v>778</v>
      </c>
      <c r="G58" s="356" t="s">
        <v>562</v>
      </c>
      <c r="J58" s="358"/>
      <c r="K58" s="357" t="s">
        <v>807</v>
      </c>
      <c r="L58" s="357" t="s">
        <v>905</v>
      </c>
      <c r="M58" s="356">
        <v>0</v>
      </c>
      <c r="N58" s="356">
        <f>7/8</f>
        <v>0.875</v>
      </c>
      <c r="O58" s="356">
        <v>1</v>
      </c>
      <c r="P58" s="356">
        <f t="shared" si="1"/>
        <v>0.875</v>
      </c>
      <c r="Q58" s="356"/>
      <c r="R58" s="356"/>
    </row>
    <row r="59" spans="1:20" s="369" customFormat="1" ht="17" x14ac:dyDescent="0.2">
      <c r="A59" s="359" t="s">
        <v>906</v>
      </c>
      <c r="B59" s="360" t="s">
        <v>776</v>
      </c>
      <c r="C59" s="360"/>
      <c r="D59" s="360" t="s">
        <v>776</v>
      </c>
      <c r="E59" s="361" t="s">
        <v>777</v>
      </c>
      <c r="F59" s="361" t="s">
        <v>778</v>
      </c>
      <c r="G59" s="361" t="s">
        <v>562</v>
      </c>
      <c r="H59" s="362"/>
      <c r="I59" s="362"/>
      <c r="J59" s="363"/>
      <c r="K59" s="362" t="s">
        <v>807</v>
      </c>
      <c r="L59" s="362" t="s">
        <v>907</v>
      </c>
      <c r="M59" s="361">
        <v>0</v>
      </c>
      <c r="N59" s="361">
        <v>1.5</v>
      </c>
      <c r="O59" s="361">
        <v>1</v>
      </c>
      <c r="P59" s="361">
        <f t="shared" si="1"/>
        <v>1.5</v>
      </c>
      <c r="R59" s="384"/>
    </row>
    <row r="60" spans="1:20" s="362" customFormat="1" ht="17" x14ac:dyDescent="0.2">
      <c r="A60" s="354" t="s">
        <v>908</v>
      </c>
      <c r="B60" s="355" t="s">
        <v>776</v>
      </c>
      <c r="C60" s="355"/>
      <c r="D60" s="355" t="s">
        <v>776</v>
      </c>
      <c r="E60" s="356" t="s">
        <v>777</v>
      </c>
      <c r="F60" s="356" t="s">
        <v>778</v>
      </c>
      <c r="G60" s="356" t="s">
        <v>562</v>
      </c>
      <c r="H60" s="357"/>
      <c r="I60" s="357"/>
      <c r="J60" s="358"/>
      <c r="K60" s="357" t="s">
        <v>807</v>
      </c>
      <c r="L60" s="357" t="s">
        <v>909</v>
      </c>
      <c r="M60" s="356">
        <v>0</v>
      </c>
      <c r="N60" s="356">
        <v>1.5</v>
      </c>
      <c r="O60" s="356">
        <v>1</v>
      </c>
      <c r="P60" s="356">
        <f t="shared" si="1"/>
        <v>1.5</v>
      </c>
      <c r="Q60" s="357"/>
      <c r="R60" s="361"/>
    </row>
    <row r="61" spans="1:20" s="362" customFormat="1" ht="17" x14ac:dyDescent="0.2">
      <c r="A61" s="354" t="s">
        <v>910</v>
      </c>
      <c r="B61" s="355" t="s">
        <v>776</v>
      </c>
      <c r="C61" s="355"/>
      <c r="D61" s="355" t="s">
        <v>776</v>
      </c>
      <c r="E61" s="356" t="s">
        <v>777</v>
      </c>
      <c r="F61" s="356" t="s">
        <v>778</v>
      </c>
      <c r="G61" s="356" t="s">
        <v>562</v>
      </c>
      <c r="H61" s="357"/>
      <c r="I61" s="357"/>
      <c r="J61" s="358"/>
      <c r="K61" s="357" t="s">
        <v>823</v>
      </c>
      <c r="L61" s="366" t="s">
        <v>911</v>
      </c>
      <c r="M61" s="356">
        <v>0</v>
      </c>
      <c r="N61" s="356">
        <v>3.5</v>
      </c>
      <c r="O61" s="356">
        <v>1</v>
      </c>
      <c r="P61" s="356">
        <f t="shared" si="1"/>
        <v>3.5</v>
      </c>
      <c r="Q61" s="361"/>
      <c r="R61" s="361"/>
    </row>
    <row r="62" spans="1:20" ht="17" x14ac:dyDescent="0.2">
      <c r="A62" s="359" t="s">
        <v>912</v>
      </c>
      <c r="B62" s="360" t="s">
        <v>776</v>
      </c>
      <c r="C62" s="360"/>
      <c r="D62" s="360" t="s">
        <v>776</v>
      </c>
      <c r="E62" s="361" t="s">
        <v>777</v>
      </c>
      <c r="F62" s="361" t="s">
        <v>778</v>
      </c>
      <c r="G62" s="361" t="s">
        <v>562</v>
      </c>
      <c r="H62" s="362"/>
      <c r="I62" s="362"/>
      <c r="J62" s="363"/>
      <c r="K62" s="362" t="s">
        <v>823</v>
      </c>
      <c r="L62" s="364" t="s">
        <v>913</v>
      </c>
      <c r="M62" s="361">
        <v>0</v>
      </c>
      <c r="N62" s="361">
        <f>5/8</f>
        <v>0.625</v>
      </c>
      <c r="O62" s="361">
        <v>1</v>
      </c>
      <c r="P62" s="361">
        <f t="shared" si="1"/>
        <v>0.625</v>
      </c>
      <c r="Q62" s="361"/>
      <c r="R62" s="361"/>
      <c r="S62" s="362"/>
      <c r="T62" s="362"/>
    </row>
    <row r="63" spans="1:20" s="357" customFormat="1" ht="17" x14ac:dyDescent="0.2">
      <c r="A63" s="354" t="s">
        <v>914</v>
      </c>
      <c r="B63" s="355" t="s">
        <v>776</v>
      </c>
      <c r="C63" s="355"/>
      <c r="D63" s="355" t="s">
        <v>776</v>
      </c>
      <c r="E63" s="356" t="s">
        <v>777</v>
      </c>
      <c r="F63" s="356" t="s">
        <v>778</v>
      </c>
      <c r="G63" s="356" t="s">
        <v>915</v>
      </c>
      <c r="J63" s="358"/>
      <c r="K63" s="357" t="s">
        <v>784</v>
      </c>
      <c r="L63" s="357" t="s">
        <v>916</v>
      </c>
      <c r="M63" s="356">
        <v>0</v>
      </c>
      <c r="N63" s="356">
        <f>7/8</f>
        <v>0.875</v>
      </c>
      <c r="O63" s="356">
        <v>1</v>
      </c>
      <c r="P63" s="356">
        <f t="shared" si="1"/>
        <v>0.875</v>
      </c>
      <c r="Q63" s="356"/>
      <c r="R63" s="356"/>
    </row>
    <row r="64" spans="1:20" s="362" customFormat="1" ht="17" x14ac:dyDescent="0.2">
      <c r="A64" s="354" t="s">
        <v>917</v>
      </c>
      <c r="B64" s="355" t="s">
        <v>776</v>
      </c>
      <c r="C64" s="355"/>
      <c r="D64" s="355" t="s">
        <v>776</v>
      </c>
      <c r="E64" s="356" t="s">
        <v>777</v>
      </c>
      <c r="F64" s="356" t="s">
        <v>778</v>
      </c>
      <c r="G64" s="356" t="s">
        <v>915</v>
      </c>
      <c r="H64" s="357"/>
      <c r="I64" s="357"/>
      <c r="J64" s="358"/>
      <c r="K64" s="357" t="s">
        <v>846</v>
      </c>
      <c r="L64" s="354" t="s">
        <v>918</v>
      </c>
      <c r="M64" s="356">
        <v>0</v>
      </c>
      <c r="N64" s="356">
        <f>3/8</f>
        <v>0.375</v>
      </c>
      <c r="O64" s="356">
        <v>1</v>
      </c>
      <c r="P64" s="356">
        <f t="shared" si="1"/>
        <v>0.375</v>
      </c>
      <c r="Q64" s="361"/>
      <c r="R64" s="356"/>
      <c r="S64" s="357"/>
      <c r="T64" s="357"/>
    </row>
    <row r="65" spans="1:20" ht="17" x14ac:dyDescent="0.2">
      <c r="A65" s="359" t="s">
        <v>919</v>
      </c>
      <c r="B65" s="360" t="s">
        <v>776</v>
      </c>
      <c r="C65" s="360"/>
      <c r="D65" s="360" t="s">
        <v>776</v>
      </c>
      <c r="E65" s="361" t="s">
        <v>777</v>
      </c>
      <c r="F65" s="361" t="s">
        <v>810</v>
      </c>
      <c r="G65" s="361" t="s">
        <v>915</v>
      </c>
      <c r="H65" s="362"/>
      <c r="I65" s="362"/>
      <c r="J65" s="363"/>
      <c r="K65" s="362" t="s">
        <v>846</v>
      </c>
      <c r="L65" s="359" t="s">
        <v>920</v>
      </c>
      <c r="M65" s="361">
        <v>0</v>
      </c>
      <c r="N65" s="361">
        <f>2+1/4</f>
        <v>2.25</v>
      </c>
      <c r="O65" s="361">
        <v>1</v>
      </c>
      <c r="P65" s="361">
        <f t="shared" si="1"/>
        <v>2.25</v>
      </c>
      <c r="Q65" s="356"/>
      <c r="R65" s="356"/>
      <c r="S65" s="357"/>
      <c r="T65" s="357"/>
    </row>
    <row r="66" spans="1:20" ht="17" x14ac:dyDescent="0.2">
      <c r="A66" s="359" t="s">
        <v>921</v>
      </c>
      <c r="B66" s="360" t="s">
        <v>776</v>
      </c>
      <c r="C66" s="360"/>
      <c r="D66" s="360" t="s">
        <v>776</v>
      </c>
      <c r="E66" s="361" t="s">
        <v>777</v>
      </c>
      <c r="F66" s="361" t="s">
        <v>810</v>
      </c>
      <c r="G66" s="361" t="s">
        <v>915</v>
      </c>
      <c r="H66" s="362"/>
      <c r="I66" s="362"/>
      <c r="J66" s="363"/>
      <c r="K66" s="362" t="s">
        <v>846</v>
      </c>
      <c r="L66" s="359" t="s">
        <v>922</v>
      </c>
      <c r="M66" s="361">
        <v>0</v>
      </c>
      <c r="N66" s="361">
        <f>1/4</f>
        <v>0.25</v>
      </c>
      <c r="O66" s="361">
        <v>1</v>
      </c>
      <c r="P66" s="361">
        <f t="shared" si="1"/>
        <v>0.25</v>
      </c>
      <c r="Q66" s="361"/>
      <c r="R66" s="361"/>
      <c r="S66" s="362"/>
      <c r="T66" s="362"/>
    </row>
    <row r="67" spans="1:20" s="362" customFormat="1" ht="17" x14ac:dyDescent="0.2">
      <c r="A67" s="359" t="s">
        <v>923</v>
      </c>
      <c r="B67" s="360" t="s">
        <v>776</v>
      </c>
      <c r="C67" s="360"/>
      <c r="D67" s="360" t="s">
        <v>776</v>
      </c>
      <c r="E67" s="361" t="s">
        <v>777</v>
      </c>
      <c r="F67" s="361" t="s">
        <v>778</v>
      </c>
      <c r="G67" s="361" t="s">
        <v>915</v>
      </c>
      <c r="J67" s="363" t="s">
        <v>924</v>
      </c>
      <c r="K67" s="362" t="s">
        <v>807</v>
      </c>
      <c r="L67" s="359" t="s">
        <v>925</v>
      </c>
      <c r="M67" s="361">
        <v>0</v>
      </c>
      <c r="N67" s="361">
        <f>1/8</f>
        <v>0.125</v>
      </c>
      <c r="O67" s="361">
        <v>1</v>
      </c>
      <c r="P67" s="361">
        <f t="shared" si="1"/>
        <v>0.125</v>
      </c>
      <c r="Q67" s="357"/>
      <c r="R67" s="357"/>
      <c r="S67" s="357"/>
      <c r="T67" s="357"/>
    </row>
    <row r="68" spans="1:20" s="357" customFormat="1" ht="17" x14ac:dyDescent="0.2">
      <c r="A68" s="354" t="s">
        <v>926</v>
      </c>
      <c r="B68" s="355" t="s">
        <v>776</v>
      </c>
      <c r="C68" s="355"/>
      <c r="D68" s="355" t="s">
        <v>776</v>
      </c>
      <c r="E68" s="356" t="s">
        <v>777</v>
      </c>
      <c r="F68" s="356" t="s">
        <v>778</v>
      </c>
      <c r="G68" s="356" t="s">
        <v>915</v>
      </c>
      <c r="J68" s="358" t="s">
        <v>924</v>
      </c>
      <c r="K68" s="357" t="s">
        <v>807</v>
      </c>
      <c r="L68" s="354" t="s">
        <v>927</v>
      </c>
      <c r="M68" s="356">
        <v>0</v>
      </c>
      <c r="N68" s="356">
        <f>5/8</f>
        <v>0.625</v>
      </c>
      <c r="O68" s="356">
        <v>1</v>
      </c>
      <c r="P68" s="356">
        <f t="shared" si="1"/>
        <v>0.625</v>
      </c>
    </row>
    <row r="69" spans="1:20" s="362" customFormat="1" ht="17" x14ac:dyDescent="0.2">
      <c r="A69" s="359" t="s">
        <v>928</v>
      </c>
      <c r="B69" s="360" t="s">
        <v>776</v>
      </c>
      <c r="C69" s="360"/>
      <c r="D69" s="360" t="s">
        <v>776</v>
      </c>
      <c r="E69" s="361" t="s">
        <v>777</v>
      </c>
      <c r="F69" s="361" t="s">
        <v>778</v>
      </c>
      <c r="G69" s="361" t="s">
        <v>915</v>
      </c>
      <c r="J69" s="363" t="s">
        <v>924</v>
      </c>
      <c r="K69" s="362" t="s">
        <v>807</v>
      </c>
      <c r="L69" s="359" t="s">
        <v>928</v>
      </c>
      <c r="M69" s="361">
        <v>0</v>
      </c>
      <c r="N69" s="361">
        <f>7/8</f>
        <v>0.875</v>
      </c>
      <c r="O69" s="361">
        <v>1</v>
      </c>
      <c r="P69" s="361">
        <f t="shared" si="1"/>
        <v>0.875</v>
      </c>
      <c r="Q69" s="375"/>
      <c r="R69" s="357"/>
      <c r="S69" s="357"/>
      <c r="T69" s="357"/>
    </row>
    <row r="70" spans="1:20" ht="17" x14ac:dyDescent="0.2">
      <c r="A70" s="354" t="s">
        <v>929</v>
      </c>
      <c r="B70" s="355" t="s">
        <v>776</v>
      </c>
      <c r="C70" s="355"/>
      <c r="D70" s="355" t="s">
        <v>776</v>
      </c>
      <c r="E70" s="356" t="s">
        <v>777</v>
      </c>
      <c r="F70" s="356" t="s">
        <v>778</v>
      </c>
      <c r="G70" s="356" t="s">
        <v>915</v>
      </c>
      <c r="H70" s="357"/>
      <c r="I70" s="357"/>
      <c r="J70" s="358" t="s">
        <v>930</v>
      </c>
      <c r="K70" s="357" t="s">
        <v>807</v>
      </c>
      <c r="L70" s="354" t="s">
        <v>929</v>
      </c>
      <c r="M70" s="356">
        <v>0</v>
      </c>
      <c r="N70" s="356">
        <f>3/8</f>
        <v>0.375</v>
      </c>
      <c r="O70" s="356">
        <v>1</v>
      </c>
      <c r="P70" s="356">
        <f t="shared" si="1"/>
        <v>0.375</v>
      </c>
      <c r="Q70" s="357"/>
      <c r="R70" s="357"/>
      <c r="S70" s="357"/>
      <c r="T70" s="357"/>
    </row>
    <row r="71" spans="1:20" s="357" customFormat="1" ht="17" x14ac:dyDescent="0.2">
      <c r="A71" s="373" t="s">
        <v>931</v>
      </c>
      <c r="B71" s="140"/>
      <c r="C71" s="140"/>
      <c r="D71" s="140" t="s">
        <v>776</v>
      </c>
      <c r="E71" s="374" t="s">
        <v>777</v>
      </c>
      <c r="F71" s="374" t="s">
        <v>778</v>
      </c>
      <c r="G71" s="374" t="s">
        <v>915</v>
      </c>
      <c r="H71" s="375"/>
      <c r="I71" s="375"/>
      <c r="J71" s="376" t="s">
        <v>930</v>
      </c>
      <c r="K71" s="375" t="s">
        <v>807</v>
      </c>
      <c r="L71" s="375" t="s">
        <v>932</v>
      </c>
      <c r="M71" s="374">
        <v>0</v>
      </c>
      <c r="N71" s="374">
        <v>1</v>
      </c>
      <c r="O71" s="374">
        <v>1</v>
      </c>
      <c r="P71" s="374">
        <f t="shared" si="1"/>
        <v>1</v>
      </c>
      <c r="Q71" s="362"/>
    </row>
    <row r="72" spans="1:20" s="357" customFormat="1" ht="17" x14ac:dyDescent="0.2">
      <c r="A72" s="359" t="s">
        <v>933</v>
      </c>
      <c r="B72" s="360" t="s">
        <v>776</v>
      </c>
      <c r="C72" s="360"/>
      <c r="D72" s="360" t="s">
        <v>776</v>
      </c>
      <c r="E72" s="361" t="s">
        <v>777</v>
      </c>
      <c r="F72" s="361" t="s">
        <v>778</v>
      </c>
      <c r="G72" s="361" t="s">
        <v>915</v>
      </c>
      <c r="H72" s="362"/>
      <c r="I72" s="362"/>
      <c r="J72" s="358" t="s">
        <v>930</v>
      </c>
      <c r="K72" s="362" t="s">
        <v>807</v>
      </c>
      <c r="L72" s="359" t="s">
        <v>933</v>
      </c>
      <c r="M72" s="361">
        <v>0</v>
      </c>
      <c r="N72" s="361">
        <f>5/8</f>
        <v>0.625</v>
      </c>
      <c r="O72" s="361">
        <v>1</v>
      </c>
      <c r="P72" s="361">
        <f t="shared" si="1"/>
        <v>0.625</v>
      </c>
      <c r="Q72" s="362"/>
    </row>
    <row r="73" spans="1:20" s="362" customFormat="1" ht="17" x14ac:dyDescent="0.2">
      <c r="A73" s="354" t="s">
        <v>934</v>
      </c>
      <c r="B73" s="355" t="s">
        <v>776</v>
      </c>
      <c r="C73" s="355"/>
      <c r="D73" s="355" t="s">
        <v>776</v>
      </c>
      <c r="E73" s="356" t="s">
        <v>777</v>
      </c>
      <c r="F73" s="356" t="s">
        <v>778</v>
      </c>
      <c r="G73" s="356" t="s">
        <v>915</v>
      </c>
      <c r="H73" s="357"/>
      <c r="I73" s="357"/>
      <c r="J73" s="358" t="s">
        <v>930</v>
      </c>
      <c r="K73" s="357" t="s">
        <v>807</v>
      </c>
      <c r="L73" s="354" t="s">
        <v>934</v>
      </c>
      <c r="M73" s="356">
        <v>0</v>
      </c>
      <c r="N73" s="356">
        <f>1+(1/8)</f>
        <v>1.125</v>
      </c>
      <c r="O73" s="356">
        <v>1</v>
      </c>
      <c r="P73" s="356">
        <f t="shared" si="1"/>
        <v>1.125</v>
      </c>
    </row>
    <row r="74" spans="1:20" s="357" customFormat="1" ht="17" x14ac:dyDescent="0.2">
      <c r="A74" s="354" t="s">
        <v>935</v>
      </c>
      <c r="B74" s="355" t="s">
        <v>776</v>
      </c>
      <c r="C74" s="355"/>
      <c r="D74" s="355" t="s">
        <v>776</v>
      </c>
      <c r="E74" s="356" t="s">
        <v>777</v>
      </c>
      <c r="F74" s="356" t="s">
        <v>778</v>
      </c>
      <c r="G74" s="356" t="s">
        <v>915</v>
      </c>
      <c r="J74" s="358" t="s">
        <v>936</v>
      </c>
      <c r="K74" s="357" t="s">
        <v>807</v>
      </c>
      <c r="L74" s="357" t="s">
        <v>937</v>
      </c>
      <c r="M74" s="356">
        <v>0</v>
      </c>
      <c r="N74" s="356">
        <f>2+5/8</f>
        <v>2.625</v>
      </c>
      <c r="O74" s="356">
        <v>1</v>
      </c>
      <c r="P74" s="356">
        <f t="shared" si="1"/>
        <v>2.625</v>
      </c>
    </row>
    <row r="75" spans="1:20" s="362" customFormat="1" ht="17" x14ac:dyDescent="0.2">
      <c r="A75" s="354" t="s">
        <v>938</v>
      </c>
      <c r="B75" s="355" t="s">
        <v>776</v>
      </c>
      <c r="C75" s="355"/>
      <c r="D75" s="355" t="s">
        <v>776</v>
      </c>
      <c r="E75" s="356" t="s">
        <v>777</v>
      </c>
      <c r="F75" s="356" t="s">
        <v>778</v>
      </c>
      <c r="G75" s="356" t="s">
        <v>915</v>
      </c>
      <c r="H75" s="357"/>
      <c r="I75" s="357"/>
      <c r="J75" s="358" t="s">
        <v>939</v>
      </c>
      <c r="K75" s="357" t="s">
        <v>807</v>
      </c>
      <c r="L75" s="354" t="s">
        <v>940</v>
      </c>
      <c r="M75" s="356">
        <v>0</v>
      </c>
      <c r="N75" s="356">
        <f>6+(5/8)</f>
        <v>6.625</v>
      </c>
      <c r="O75" s="356">
        <v>1</v>
      </c>
      <c r="P75" s="356">
        <f t="shared" si="1"/>
        <v>6.625</v>
      </c>
      <c r="Q75" s="357"/>
    </row>
    <row r="76" spans="1:20" s="372" customFormat="1" ht="17" x14ac:dyDescent="0.2">
      <c r="A76" s="354" t="s">
        <v>941</v>
      </c>
      <c r="B76" s="355" t="s">
        <v>776</v>
      </c>
      <c r="C76" s="355"/>
      <c r="D76" s="355" t="s">
        <v>776</v>
      </c>
      <c r="E76" s="356" t="s">
        <v>777</v>
      </c>
      <c r="F76" s="356" t="s">
        <v>778</v>
      </c>
      <c r="G76" s="356" t="s">
        <v>915</v>
      </c>
      <c r="H76" s="357"/>
      <c r="I76" s="357"/>
      <c r="J76" s="358" t="s">
        <v>942</v>
      </c>
      <c r="K76" s="357" t="s">
        <v>807</v>
      </c>
      <c r="L76" s="371" t="s">
        <v>943</v>
      </c>
      <c r="M76" s="356">
        <v>0</v>
      </c>
      <c r="N76" s="356">
        <f>5+(3/8)</f>
        <v>5.375</v>
      </c>
      <c r="O76" s="356">
        <v>1</v>
      </c>
      <c r="P76" s="356">
        <f t="shared" ref="P76:P139" si="2">O76*((M76*16)+N76)</f>
        <v>5.375</v>
      </c>
      <c r="Q76" s="362"/>
    </row>
    <row r="77" spans="1:20" s="375" customFormat="1" ht="17" x14ac:dyDescent="0.2">
      <c r="A77" s="359" t="s">
        <v>944</v>
      </c>
      <c r="B77" s="360" t="s">
        <v>776</v>
      </c>
      <c r="C77" s="360"/>
      <c r="D77" s="360" t="s">
        <v>776</v>
      </c>
      <c r="E77" s="361" t="s">
        <v>777</v>
      </c>
      <c r="F77" s="361" t="s">
        <v>778</v>
      </c>
      <c r="G77" s="361" t="s">
        <v>915</v>
      </c>
      <c r="H77" s="362"/>
      <c r="I77" s="362"/>
      <c r="J77" s="363" t="s">
        <v>849</v>
      </c>
      <c r="K77" s="362" t="s">
        <v>807</v>
      </c>
      <c r="L77" s="359" t="s">
        <v>945</v>
      </c>
      <c r="M77" s="361">
        <v>0</v>
      </c>
      <c r="N77" s="361">
        <f>1+(3/8)</f>
        <v>1.375</v>
      </c>
      <c r="O77" s="361">
        <v>1</v>
      </c>
      <c r="P77" s="361">
        <f t="shared" si="2"/>
        <v>1.375</v>
      </c>
      <c r="Q77" s="362"/>
      <c r="R77" s="362"/>
      <c r="S77" s="362"/>
      <c r="T77" s="362"/>
    </row>
    <row r="78" spans="1:20" s="379" customFormat="1" ht="17" x14ac:dyDescent="0.2">
      <c r="A78" s="354" t="s">
        <v>723</v>
      </c>
      <c r="B78" s="355" t="s">
        <v>776</v>
      </c>
      <c r="C78" s="355"/>
      <c r="D78" s="355" t="s">
        <v>776</v>
      </c>
      <c r="E78" s="356" t="s">
        <v>777</v>
      </c>
      <c r="F78" s="356" t="s">
        <v>778</v>
      </c>
      <c r="G78" s="356" t="s">
        <v>915</v>
      </c>
      <c r="H78" s="357"/>
      <c r="I78" s="357"/>
      <c r="J78" s="358"/>
      <c r="K78" s="357" t="s">
        <v>807</v>
      </c>
      <c r="L78" s="383" t="s">
        <v>946</v>
      </c>
      <c r="M78" s="356">
        <v>0</v>
      </c>
      <c r="N78" s="356">
        <f>2+1/4</f>
        <v>2.25</v>
      </c>
      <c r="O78" s="356">
        <v>1</v>
      </c>
      <c r="P78" s="356">
        <f t="shared" si="2"/>
        <v>2.25</v>
      </c>
      <c r="Q78" s="362"/>
      <c r="R78" s="375"/>
      <c r="S78" s="375"/>
      <c r="T78" s="375"/>
    </row>
    <row r="79" spans="1:20" s="362" customFormat="1" ht="17" x14ac:dyDescent="0.2">
      <c r="A79" s="354" t="s">
        <v>947</v>
      </c>
      <c r="B79" s="355" t="s">
        <v>776</v>
      </c>
      <c r="C79" s="355"/>
      <c r="D79" s="355" t="s">
        <v>776</v>
      </c>
      <c r="E79" s="356" t="s">
        <v>777</v>
      </c>
      <c r="F79" s="356" t="s">
        <v>778</v>
      </c>
      <c r="G79" s="356" t="s">
        <v>915</v>
      </c>
      <c r="H79" s="357"/>
      <c r="I79" s="357"/>
      <c r="J79" s="358" t="s">
        <v>871</v>
      </c>
      <c r="K79" s="357" t="s">
        <v>823</v>
      </c>
      <c r="L79" s="354" t="s">
        <v>948</v>
      </c>
      <c r="M79" s="356">
        <v>0</v>
      </c>
      <c r="N79" s="356">
        <f>1+(1/8)</f>
        <v>1.125</v>
      </c>
      <c r="O79" s="356">
        <v>1</v>
      </c>
      <c r="P79" s="356">
        <f t="shared" si="2"/>
        <v>1.125</v>
      </c>
      <c r="Q79" s="357"/>
    </row>
    <row r="80" spans="1:20" s="357" customFormat="1" ht="17" x14ac:dyDescent="0.2">
      <c r="A80" s="359" t="s">
        <v>949</v>
      </c>
      <c r="B80" s="360" t="s">
        <v>776</v>
      </c>
      <c r="C80" s="360"/>
      <c r="D80" s="360" t="s">
        <v>776</v>
      </c>
      <c r="E80" s="361" t="s">
        <v>777</v>
      </c>
      <c r="F80" s="361" t="s">
        <v>778</v>
      </c>
      <c r="G80" s="361" t="s">
        <v>915</v>
      </c>
      <c r="H80" s="362"/>
      <c r="I80" s="362"/>
      <c r="J80" s="363" t="s">
        <v>871</v>
      </c>
      <c r="K80" s="362" t="s">
        <v>823</v>
      </c>
      <c r="L80" s="359" t="s">
        <v>949</v>
      </c>
      <c r="M80" s="361">
        <v>0</v>
      </c>
      <c r="N80" s="361">
        <v>2.5</v>
      </c>
      <c r="O80" s="361">
        <v>1</v>
      </c>
      <c r="P80" s="361">
        <f t="shared" si="2"/>
        <v>2.5</v>
      </c>
      <c r="Q80" s="375"/>
      <c r="R80" s="362"/>
      <c r="S80" s="362"/>
      <c r="T80" s="362"/>
    </row>
    <row r="81" spans="1:20" s="357" customFormat="1" ht="17" x14ac:dyDescent="0.2">
      <c r="A81" s="359" t="s">
        <v>950</v>
      </c>
      <c r="B81" s="140" t="s">
        <v>776</v>
      </c>
      <c r="C81" s="140"/>
      <c r="D81" s="360" t="s">
        <v>776</v>
      </c>
      <c r="E81" s="361" t="s">
        <v>777</v>
      </c>
      <c r="F81" s="361" t="s">
        <v>778</v>
      </c>
      <c r="G81" s="361" t="s">
        <v>915</v>
      </c>
      <c r="H81" s="362"/>
      <c r="I81" s="362"/>
      <c r="J81" s="363" t="s">
        <v>871</v>
      </c>
      <c r="K81" s="362" t="s">
        <v>823</v>
      </c>
      <c r="L81" s="359" t="s">
        <v>951</v>
      </c>
      <c r="M81" s="361">
        <v>0</v>
      </c>
      <c r="N81" s="361">
        <f>2+5/8</f>
        <v>2.625</v>
      </c>
      <c r="O81" s="361">
        <v>1</v>
      </c>
      <c r="P81" s="361">
        <f t="shared" si="2"/>
        <v>2.625</v>
      </c>
      <c r="R81" s="362"/>
      <c r="S81" s="362"/>
      <c r="T81" s="362"/>
    </row>
    <row r="82" spans="1:20" ht="17" x14ac:dyDescent="0.2">
      <c r="A82" s="359" t="s">
        <v>952</v>
      </c>
      <c r="B82" s="360" t="s">
        <v>776</v>
      </c>
      <c r="C82" s="360"/>
      <c r="D82" s="360" t="s">
        <v>776</v>
      </c>
      <c r="E82" s="361" t="s">
        <v>777</v>
      </c>
      <c r="F82" s="361" t="s">
        <v>778</v>
      </c>
      <c r="G82" s="361" t="s">
        <v>607</v>
      </c>
      <c r="H82" s="362"/>
      <c r="I82" s="362"/>
      <c r="J82" s="363"/>
      <c r="K82" s="362" t="s">
        <v>784</v>
      </c>
      <c r="L82" s="362" t="s">
        <v>953</v>
      </c>
      <c r="M82" s="361">
        <v>0</v>
      </c>
      <c r="N82" s="361">
        <v>0.75</v>
      </c>
      <c r="O82" s="361">
        <v>1</v>
      </c>
      <c r="P82" s="361">
        <f t="shared" si="2"/>
        <v>0.75</v>
      </c>
      <c r="Q82" s="362"/>
      <c r="R82" s="362"/>
      <c r="S82" s="362"/>
      <c r="T82" s="362"/>
    </row>
    <row r="83" spans="1:20" ht="17" x14ac:dyDescent="0.2">
      <c r="A83" s="354" t="s">
        <v>954</v>
      </c>
      <c r="B83" s="355" t="s">
        <v>776</v>
      </c>
      <c r="C83" s="355"/>
      <c r="D83" s="355" t="s">
        <v>776</v>
      </c>
      <c r="E83" s="356" t="s">
        <v>777</v>
      </c>
      <c r="F83" s="356" t="s">
        <v>778</v>
      </c>
      <c r="G83" s="356" t="s">
        <v>607</v>
      </c>
      <c r="H83" s="357"/>
      <c r="I83" s="357"/>
      <c r="J83" s="358"/>
      <c r="K83" s="357" t="s">
        <v>784</v>
      </c>
      <c r="L83" s="366" t="s">
        <v>955</v>
      </c>
      <c r="M83" s="356">
        <v>0</v>
      </c>
      <c r="N83" s="356">
        <v>2</v>
      </c>
      <c r="O83" s="356">
        <v>1</v>
      </c>
      <c r="P83" s="356">
        <f t="shared" si="2"/>
        <v>2</v>
      </c>
      <c r="Q83" s="362"/>
      <c r="R83" s="362"/>
      <c r="S83" s="362"/>
      <c r="T83" s="362"/>
    </row>
    <row r="84" spans="1:20" s="375" customFormat="1" ht="17" x14ac:dyDescent="0.2">
      <c r="A84" s="359" t="s">
        <v>956</v>
      </c>
      <c r="B84" s="360" t="s">
        <v>776</v>
      </c>
      <c r="C84" s="360"/>
      <c r="D84" s="360" t="s">
        <v>776</v>
      </c>
      <c r="E84" s="361" t="s">
        <v>777</v>
      </c>
      <c r="F84" s="361" t="s">
        <v>778</v>
      </c>
      <c r="G84" s="361" t="s">
        <v>607</v>
      </c>
      <c r="H84" s="362"/>
      <c r="I84" s="362"/>
      <c r="J84" s="363" t="s">
        <v>852</v>
      </c>
      <c r="K84" s="362" t="s">
        <v>823</v>
      </c>
      <c r="L84" s="362" t="s">
        <v>957</v>
      </c>
      <c r="M84" s="361">
        <v>0</v>
      </c>
      <c r="N84" s="361">
        <f>7/8</f>
        <v>0.875</v>
      </c>
      <c r="O84" s="361">
        <v>1</v>
      </c>
      <c r="P84" s="361">
        <f t="shared" si="2"/>
        <v>0.875</v>
      </c>
      <c r="Q84" s="362"/>
      <c r="R84" s="357"/>
      <c r="S84" s="357"/>
      <c r="T84" s="357"/>
    </row>
    <row r="85" spans="1:20" s="357" customFormat="1" ht="17" x14ac:dyDescent="0.2">
      <c r="A85" s="354" t="s">
        <v>958</v>
      </c>
      <c r="B85" s="355" t="s">
        <v>776</v>
      </c>
      <c r="C85" s="355"/>
      <c r="D85" s="355" t="s">
        <v>776</v>
      </c>
      <c r="E85" s="356" t="s">
        <v>777</v>
      </c>
      <c r="F85" s="356" t="s">
        <v>778</v>
      </c>
      <c r="G85" s="356" t="s">
        <v>618</v>
      </c>
      <c r="J85" s="358" t="s">
        <v>959</v>
      </c>
      <c r="K85" s="357" t="s">
        <v>868</v>
      </c>
      <c r="L85" s="357" t="s">
        <v>960</v>
      </c>
      <c r="M85" s="356">
        <v>0</v>
      </c>
      <c r="N85" s="356">
        <f>4+3/8</f>
        <v>4.375</v>
      </c>
      <c r="O85" s="356">
        <v>1</v>
      </c>
      <c r="P85" s="356">
        <f t="shared" si="2"/>
        <v>4.375</v>
      </c>
    </row>
    <row r="86" spans="1:20" s="369" customFormat="1" ht="17" x14ac:dyDescent="0.2">
      <c r="A86" s="359" t="s">
        <v>961</v>
      </c>
      <c r="B86" s="360" t="s">
        <v>776</v>
      </c>
      <c r="C86" s="360"/>
      <c r="D86" s="360" t="s">
        <v>776</v>
      </c>
      <c r="E86" s="361" t="s">
        <v>777</v>
      </c>
      <c r="F86" s="361" t="s">
        <v>870</v>
      </c>
      <c r="G86" s="361" t="s">
        <v>618</v>
      </c>
      <c r="H86" s="362"/>
      <c r="I86" s="362"/>
      <c r="J86" s="363"/>
      <c r="K86" s="362" t="s">
        <v>868</v>
      </c>
      <c r="L86" s="364" t="s">
        <v>962</v>
      </c>
      <c r="M86" s="361">
        <v>0</v>
      </c>
      <c r="N86" s="361">
        <f>3+(1/8)</f>
        <v>3.125</v>
      </c>
      <c r="O86" s="361">
        <v>1</v>
      </c>
      <c r="P86" s="361">
        <f t="shared" si="2"/>
        <v>3.125</v>
      </c>
    </row>
    <row r="87" spans="1:20" s="367" customFormat="1" ht="34" x14ac:dyDescent="0.2">
      <c r="A87" s="359" t="s">
        <v>963</v>
      </c>
      <c r="B87" s="360" t="s">
        <v>776</v>
      </c>
      <c r="C87" s="360"/>
      <c r="D87" s="360" t="s">
        <v>776</v>
      </c>
      <c r="E87" s="361" t="s">
        <v>777</v>
      </c>
      <c r="F87" s="361" t="s">
        <v>870</v>
      </c>
      <c r="G87" s="361" t="s">
        <v>618</v>
      </c>
      <c r="H87" s="362"/>
      <c r="I87" s="362"/>
      <c r="J87" s="363"/>
      <c r="K87" s="362" t="s">
        <v>868</v>
      </c>
      <c r="L87" s="364" t="s">
        <v>964</v>
      </c>
      <c r="M87" s="361">
        <v>0</v>
      </c>
      <c r="N87" s="361">
        <v>0</v>
      </c>
      <c r="O87" s="361">
        <v>1</v>
      </c>
      <c r="P87" s="361">
        <f t="shared" si="2"/>
        <v>0</v>
      </c>
      <c r="Q87" s="375"/>
      <c r="R87" s="362"/>
      <c r="S87" s="362"/>
      <c r="T87" s="362"/>
    </row>
    <row r="88" spans="1:20" s="362" customFormat="1" ht="17" x14ac:dyDescent="0.2">
      <c r="A88" s="359" t="s">
        <v>965</v>
      </c>
      <c r="B88" s="360" t="s">
        <v>776</v>
      </c>
      <c r="C88" s="360"/>
      <c r="D88" s="360" t="s">
        <v>776</v>
      </c>
      <c r="E88" s="361" t="s">
        <v>777</v>
      </c>
      <c r="F88" s="361" t="s">
        <v>778</v>
      </c>
      <c r="G88" s="361" t="s">
        <v>618</v>
      </c>
      <c r="J88" s="363"/>
      <c r="K88" s="362" t="s">
        <v>868</v>
      </c>
      <c r="L88" s="364" t="s">
        <v>966</v>
      </c>
      <c r="M88" s="361">
        <v>0</v>
      </c>
      <c r="N88" s="361">
        <v>1</v>
      </c>
      <c r="O88" s="361">
        <v>1</v>
      </c>
      <c r="P88" s="361">
        <f t="shared" si="2"/>
        <v>1</v>
      </c>
      <c r="R88" s="357"/>
      <c r="S88" s="357"/>
      <c r="T88" s="357"/>
    </row>
    <row r="89" spans="1:20" s="362" customFormat="1" ht="17" x14ac:dyDescent="0.2">
      <c r="A89" s="354" t="s">
        <v>967</v>
      </c>
      <c r="B89" s="355" t="s">
        <v>776</v>
      </c>
      <c r="C89" s="355"/>
      <c r="D89" s="355" t="s">
        <v>776</v>
      </c>
      <c r="E89" s="356" t="s">
        <v>777</v>
      </c>
      <c r="F89" s="356" t="s">
        <v>778</v>
      </c>
      <c r="G89" s="356" t="s">
        <v>968</v>
      </c>
      <c r="H89" s="357"/>
      <c r="I89" s="357"/>
      <c r="J89" s="358" t="s">
        <v>969</v>
      </c>
      <c r="K89" s="357" t="s">
        <v>970</v>
      </c>
      <c r="L89" s="366" t="s">
        <v>971</v>
      </c>
      <c r="M89" s="356">
        <v>2</v>
      </c>
      <c r="N89" s="356">
        <v>4.5</v>
      </c>
      <c r="O89" s="356">
        <v>1</v>
      </c>
      <c r="P89" s="356">
        <f t="shared" si="2"/>
        <v>36.5</v>
      </c>
    </row>
    <row r="90" spans="1:20" s="362" customFormat="1" ht="17" x14ac:dyDescent="0.2">
      <c r="A90" s="359" t="s">
        <v>972</v>
      </c>
      <c r="B90" s="360" t="s">
        <v>776</v>
      </c>
      <c r="C90" s="360"/>
      <c r="D90" s="360" t="s">
        <v>776</v>
      </c>
      <c r="E90" s="361" t="s">
        <v>777</v>
      </c>
      <c r="F90" s="361" t="s">
        <v>778</v>
      </c>
      <c r="G90" s="361" t="s">
        <v>968</v>
      </c>
      <c r="J90" s="363" t="s">
        <v>791</v>
      </c>
      <c r="K90" s="362" t="s">
        <v>807</v>
      </c>
      <c r="L90" s="362" t="s">
        <v>973</v>
      </c>
      <c r="M90" s="361">
        <v>0</v>
      </c>
      <c r="N90" s="361">
        <v>1.625</v>
      </c>
      <c r="O90" s="361">
        <v>1</v>
      </c>
      <c r="P90" s="361">
        <f t="shared" si="2"/>
        <v>1.625</v>
      </c>
      <c r="Q90" s="357"/>
    </row>
    <row r="91" spans="1:20" ht="17" x14ac:dyDescent="0.2">
      <c r="A91" s="359" t="s">
        <v>974</v>
      </c>
      <c r="B91" s="360" t="s">
        <v>776</v>
      </c>
      <c r="C91" s="360"/>
      <c r="D91" s="360" t="s">
        <v>776</v>
      </c>
      <c r="E91" s="361" t="s">
        <v>777</v>
      </c>
      <c r="F91" s="361" t="s">
        <v>778</v>
      </c>
      <c r="G91" s="361" t="s">
        <v>968</v>
      </c>
      <c r="H91" s="362"/>
      <c r="I91" s="362"/>
      <c r="J91" s="363"/>
      <c r="K91" s="362" t="s">
        <v>807</v>
      </c>
      <c r="L91" s="362" t="s">
        <v>975</v>
      </c>
      <c r="M91" s="361">
        <v>0</v>
      </c>
      <c r="N91" s="361">
        <v>13</v>
      </c>
      <c r="O91" s="361">
        <v>1</v>
      </c>
      <c r="P91" s="361">
        <f t="shared" si="2"/>
        <v>13</v>
      </c>
      <c r="Q91" s="362"/>
      <c r="R91" s="362"/>
      <c r="S91" s="362"/>
      <c r="T91" s="362"/>
    </row>
    <row r="92" spans="1:20" ht="17" x14ac:dyDescent="0.2">
      <c r="A92" s="373" t="s">
        <v>976</v>
      </c>
      <c r="B92" s="140"/>
      <c r="C92" s="140"/>
      <c r="D92" s="140" t="s">
        <v>776</v>
      </c>
      <c r="E92" s="374" t="s">
        <v>777</v>
      </c>
      <c r="F92" s="374" t="s">
        <v>778</v>
      </c>
      <c r="G92" s="374" t="s">
        <v>602</v>
      </c>
      <c r="H92" s="375"/>
      <c r="I92" s="375"/>
      <c r="J92" s="376" t="s">
        <v>977</v>
      </c>
      <c r="K92" s="375" t="s">
        <v>807</v>
      </c>
      <c r="L92" s="375" t="s">
        <v>976</v>
      </c>
      <c r="M92" s="374">
        <v>0</v>
      </c>
      <c r="N92" s="374">
        <v>0.75</v>
      </c>
      <c r="O92" s="374">
        <v>1</v>
      </c>
      <c r="P92" s="374">
        <f t="shared" si="2"/>
        <v>0.75</v>
      </c>
      <c r="Q92" s="362"/>
      <c r="R92" s="357"/>
      <c r="S92" s="357"/>
      <c r="T92" s="357"/>
    </row>
    <row r="93" spans="1:20" ht="17" x14ac:dyDescent="0.2">
      <c r="A93" s="359" t="s">
        <v>977</v>
      </c>
      <c r="B93" s="360" t="s">
        <v>776</v>
      </c>
      <c r="C93" s="360"/>
      <c r="D93" s="360" t="s">
        <v>776</v>
      </c>
      <c r="E93" s="361" t="s">
        <v>777</v>
      </c>
      <c r="F93" s="361" t="s">
        <v>778</v>
      </c>
      <c r="G93" s="361" t="s">
        <v>602</v>
      </c>
      <c r="H93" s="362"/>
      <c r="I93" s="362"/>
      <c r="J93" s="363"/>
      <c r="K93" s="362" t="s">
        <v>807</v>
      </c>
      <c r="L93" s="362" t="s">
        <v>978</v>
      </c>
      <c r="M93" s="361">
        <v>0</v>
      </c>
      <c r="N93" s="361">
        <v>11</v>
      </c>
      <c r="O93" s="361">
        <v>1</v>
      </c>
      <c r="P93" s="361">
        <f t="shared" si="2"/>
        <v>11</v>
      </c>
      <c r="Q93" s="362"/>
      <c r="R93" s="362"/>
      <c r="S93" s="362"/>
      <c r="T93" s="362"/>
    </row>
    <row r="94" spans="1:20" s="362" customFormat="1" ht="17" x14ac:dyDescent="0.2">
      <c r="A94" s="359" t="s">
        <v>979</v>
      </c>
      <c r="B94" s="360" t="s">
        <v>776</v>
      </c>
      <c r="C94" s="360"/>
      <c r="D94" s="360" t="s">
        <v>776</v>
      </c>
      <c r="E94" s="361" t="s">
        <v>777</v>
      </c>
      <c r="F94" s="361" t="s">
        <v>778</v>
      </c>
      <c r="G94" s="361" t="s">
        <v>602</v>
      </c>
      <c r="J94" s="363" t="s">
        <v>977</v>
      </c>
      <c r="K94" s="362" t="s">
        <v>977</v>
      </c>
      <c r="L94" s="359" t="s">
        <v>980</v>
      </c>
      <c r="M94" s="361">
        <v>0</v>
      </c>
      <c r="N94" s="361">
        <v>3.25</v>
      </c>
      <c r="O94" s="361">
        <v>1</v>
      </c>
      <c r="P94" s="361">
        <f t="shared" si="2"/>
        <v>3.25</v>
      </c>
    </row>
    <row r="95" spans="1:20" s="362" customFormat="1" ht="17" x14ac:dyDescent="0.2">
      <c r="A95" s="359" t="s">
        <v>981</v>
      </c>
      <c r="B95" s="360" t="s">
        <v>776</v>
      </c>
      <c r="C95" s="360"/>
      <c r="D95" s="360" t="s">
        <v>776</v>
      </c>
      <c r="E95" s="361" t="s">
        <v>777</v>
      </c>
      <c r="F95" s="361" t="s">
        <v>778</v>
      </c>
      <c r="G95" s="361" t="s">
        <v>602</v>
      </c>
      <c r="J95" s="363"/>
      <c r="K95" s="362" t="s">
        <v>982</v>
      </c>
      <c r="L95" s="362" t="s">
        <v>983</v>
      </c>
      <c r="M95" s="361">
        <v>0</v>
      </c>
      <c r="N95" s="361">
        <f>2+5/8</f>
        <v>2.625</v>
      </c>
      <c r="O95" s="361">
        <v>1</v>
      </c>
      <c r="P95" s="361">
        <f t="shared" si="2"/>
        <v>2.625</v>
      </c>
    </row>
    <row r="96" spans="1:20" s="375" customFormat="1" ht="17" x14ac:dyDescent="0.2">
      <c r="A96" s="373" t="s">
        <v>984</v>
      </c>
      <c r="B96" s="140"/>
      <c r="C96" s="140"/>
      <c r="D96" s="140" t="s">
        <v>776</v>
      </c>
      <c r="E96" s="374" t="s">
        <v>777</v>
      </c>
      <c r="F96" s="374" t="s">
        <v>778</v>
      </c>
      <c r="G96" s="374" t="s">
        <v>602</v>
      </c>
      <c r="J96" s="376"/>
      <c r="K96" s="375" t="s">
        <v>985</v>
      </c>
      <c r="L96" s="382" t="s">
        <v>986</v>
      </c>
      <c r="M96" s="374">
        <v>0</v>
      </c>
      <c r="N96" s="374">
        <v>4.5</v>
      </c>
      <c r="O96" s="374">
        <v>1</v>
      </c>
      <c r="P96" s="374">
        <f t="shared" si="2"/>
        <v>4.5</v>
      </c>
    </row>
    <row r="97" spans="1:20" s="357" customFormat="1" ht="17" x14ac:dyDescent="0.2">
      <c r="A97" s="354" t="s">
        <v>987</v>
      </c>
      <c r="B97" s="355" t="s">
        <v>776</v>
      </c>
      <c r="C97" s="355"/>
      <c r="D97" s="355" t="s">
        <v>776</v>
      </c>
      <c r="E97" s="356" t="s">
        <v>777</v>
      </c>
      <c r="F97" s="356" t="s">
        <v>778</v>
      </c>
      <c r="G97" s="356" t="s">
        <v>602</v>
      </c>
      <c r="J97" s="358"/>
      <c r="K97" s="357" t="s">
        <v>985</v>
      </c>
      <c r="L97" s="357" t="s">
        <v>988</v>
      </c>
      <c r="M97" s="356">
        <v>0</v>
      </c>
      <c r="N97" s="356">
        <f>1+(3/8)</f>
        <v>1.375</v>
      </c>
      <c r="O97" s="356">
        <v>1</v>
      </c>
      <c r="P97" s="356">
        <f t="shared" si="2"/>
        <v>1.375</v>
      </c>
      <c r="Q97" s="375"/>
      <c r="R97" s="375"/>
      <c r="S97" s="375"/>
      <c r="T97" s="375"/>
    </row>
    <row r="98" spans="1:20" s="357" customFormat="1" ht="17" x14ac:dyDescent="0.2">
      <c r="A98" s="359" t="s">
        <v>989</v>
      </c>
      <c r="B98" s="360" t="s">
        <v>776</v>
      </c>
      <c r="C98" s="360"/>
      <c r="D98" s="360" t="s">
        <v>776</v>
      </c>
      <c r="E98" s="361" t="s">
        <v>777</v>
      </c>
      <c r="F98" s="361" t="s">
        <v>778</v>
      </c>
      <c r="G98" s="361" t="s">
        <v>602</v>
      </c>
      <c r="H98" s="362"/>
      <c r="I98" s="362"/>
      <c r="J98" s="363"/>
      <c r="K98" s="362" t="s">
        <v>985</v>
      </c>
      <c r="L98" s="362" t="s">
        <v>990</v>
      </c>
      <c r="M98" s="361">
        <v>0</v>
      </c>
      <c r="N98" s="361">
        <f>4+(3/4)</f>
        <v>4.75</v>
      </c>
      <c r="O98" s="361">
        <v>1</v>
      </c>
      <c r="P98" s="365">
        <f t="shared" si="2"/>
        <v>4.75</v>
      </c>
      <c r="R98" s="362"/>
      <c r="S98" s="362"/>
      <c r="T98" s="362"/>
    </row>
    <row r="99" spans="1:20" s="362" customFormat="1" ht="17" x14ac:dyDescent="0.2">
      <c r="A99" s="359" t="s">
        <v>991</v>
      </c>
      <c r="B99" s="360" t="s">
        <v>776</v>
      </c>
      <c r="C99" s="360"/>
      <c r="D99" s="360" t="s">
        <v>776</v>
      </c>
      <c r="E99" s="361" t="s">
        <v>777</v>
      </c>
      <c r="F99" s="361" t="s">
        <v>778</v>
      </c>
      <c r="G99" s="361" t="s">
        <v>602</v>
      </c>
      <c r="J99" s="363" t="s">
        <v>871</v>
      </c>
      <c r="K99" s="362" t="s">
        <v>823</v>
      </c>
      <c r="L99" s="370" t="s">
        <v>992</v>
      </c>
      <c r="M99" s="361">
        <v>0</v>
      </c>
      <c r="N99" s="361">
        <f>1/4</f>
        <v>0.25</v>
      </c>
      <c r="O99" s="361">
        <v>1</v>
      </c>
      <c r="P99" s="361">
        <f t="shared" si="2"/>
        <v>0.25</v>
      </c>
      <c r="Q99" s="357"/>
      <c r="R99" s="357"/>
      <c r="S99" s="357"/>
      <c r="T99" s="357"/>
    </row>
    <row r="100" spans="1:20" s="357" customFormat="1" ht="17" x14ac:dyDescent="0.2">
      <c r="A100" s="359" t="s">
        <v>993</v>
      </c>
      <c r="B100" s="360" t="s">
        <v>776</v>
      </c>
      <c r="C100" s="360"/>
      <c r="D100" s="360" t="s">
        <v>776</v>
      </c>
      <c r="E100" s="361" t="s">
        <v>777</v>
      </c>
      <c r="F100" s="361" t="s">
        <v>778</v>
      </c>
      <c r="G100" s="361" t="s">
        <v>602</v>
      </c>
      <c r="H100" s="362"/>
      <c r="I100" s="362"/>
      <c r="J100" s="363"/>
      <c r="K100" s="362" t="s">
        <v>823</v>
      </c>
      <c r="L100" s="364" t="s">
        <v>994</v>
      </c>
      <c r="M100" s="361">
        <v>0</v>
      </c>
      <c r="N100" s="361">
        <v>2.5</v>
      </c>
      <c r="O100" s="361">
        <v>1</v>
      </c>
      <c r="P100" s="361">
        <f t="shared" si="2"/>
        <v>2.5</v>
      </c>
      <c r="Q100" s="362"/>
      <c r="R100" s="362"/>
      <c r="S100" s="362"/>
      <c r="T100" s="362"/>
    </row>
    <row r="101" spans="1:20" s="367" customFormat="1" ht="17" x14ac:dyDescent="0.2">
      <c r="A101" s="359" t="s">
        <v>995</v>
      </c>
      <c r="B101" s="360" t="s">
        <v>776</v>
      </c>
      <c r="C101" s="360"/>
      <c r="D101" s="360" t="s">
        <v>776</v>
      </c>
      <c r="E101" s="361" t="s">
        <v>777</v>
      </c>
      <c r="F101" s="361" t="s">
        <v>778</v>
      </c>
      <c r="G101" s="361" t="s">
        <v>602</v>
      </c>
      <c r="H101" s="362"/>
      <c r="I101" s="362"/>
      <c r="J101" s="363"/>
      <c r="K101" s="362" t="s">
        <v>826</v>
      </c>
      <c r="L101" s="359" t="s">
        <v>996</v>
      </c>
      <c r="M101" s="361">
        <v>0</v>
      </c>
      <c r="N101" s="361">
        <f>3+3/4</f>
        <v>3.75</v>
      </c>
      <c r="O101" s="361">
        <v>1</v>
      </c>
      <c r="P101" s="361">
        <f t="shared" si="2"/>
        <v>3.75</v>
      </c>
      <c r="Q101" s="375"/>
      <c r="R101" s="362"/>
      <c r="S101" s="362"/>
      <c r="T101" s="362"/>
    </row>
    <row r="102" spans="1:20" s="357" customFormat="1" ht="17" x14ac:dyDescent="0.2">
      <c r="A102" s="354" t="s">
        <v>997</v>
      </c>
      <c r="B102" s="355" t="s">
        <v>776</v>
      </c>
      <c r="C102" s="355"/>
      <c r="D102" s="355" t="s">
        <v>776</v>
      </c>
      <c r="E102" s="356" t="s">
        <v>998</v>
      </c>
      <c r="F102" s="356" t="s">
        <v>778</v>
      </c>
      <c r="G102" s="356" t="s">
        <v>862</v>
      </c>
      <c r="J102" s="358"/>
      <c r="K102" s="357" t="s">
        <v>823</v>
      </c>
      <c r="L102" s="357" t="s">
        <v>999</v>
      </c>
      <c r="M102" s="356">
        <v>0</v>
      </c>
      <c r="N102" s="356">
        <f>3/8</f>
        <v>0.375</v>
      </c>
      <c r="O102" s="356">
        <v>1</v>
      </c>
      <c r="P102" s="356">
        <f t="shared" si="2"/>
        <v>0.375</v>
      </c>
      <c r="Q102" s="362"/>
      <c r="R102" s="375"/>
      <c r="S102" s="375"/>
      <c r="T102" s="375"/>
    </row>
    <row r="103" spans="1:20" s="357" customFormat="1" ht="17" x14ac:dyDescent="0.2">
      <c r="A103" s="354" t="s">
        <v>1000</v>
      </c>
      <c r="B103" s="355" t="s">
        <v>776</v>
      </c>
      <c r="C103" s="355"/>
      <c r="D103" s="355" t="s">
        <v>776</v>
      </c>
      <c r="E103" s="356" t="s">
        <v>998</v>
      </c>
      <c r="F103" s="356" t="s">
        <v>778</v>
      </c>
      <c r="G103" s="356" t="s">
        <v>602</v>
      </c>
      <c r="J103" s="358"/>
      <c r="K103" s="357" t="s">
        <v>868</v>
      </c>
      <c r="L103" s="366" t="s">
        <v>1001</v>
      </c>
      <c r="M103" s="356">
        <v>0</v>
      </c>
      <c r="N103" s="356">
        <f>1+3/8</f>
        <v>1.375</v>
      </c>
      <c r="O103" s="356">
        <v>1</v>
      </c>
      <c r="P103" s="385">
        <f t="shared" si="2"/>
        <v>1.375</v>
      </c>
      <c r="Q103" s="362"/>
      <c r="R103" s="362"/>
      <c r="S103" s="362"/>
      <c r="T103" s="362"/>
    </row>
    <row r="104" spans="1:20" s="357" customFormat="1" ht="17" x14ac:dyDescent="0.2">
      <c r="A104" s="349" t="s">
        <v>1002</v>
      </c>
      <c r="B104" s="131"/>
      <c r="C104" s="131"/>
      <c r="D104" s="131"/>
      <c r="E104" s="350" t="s">
        <v>777</v>
      </c>
      <c r="F104" s="350" t="s">
        <v>778</v>
      </c>
      <c r="G104" s="350" t="s">
        <v>775</v>
      </c>
      <c r="H104" s="351"/>
      <c r="I104" s="351"/>
      <c r="J104" s="352"/>
      <c r="K104" s="351" t="s">
        <v>784</v>
      </c>
      <c r="L104" s="351" t="s">
        <v>1003</v>
      </c>
      <c r="M104" s="350">
        <v>0</v>
      </c>
      <c r="N104" s="350">
        <f>7/8</f>
        <v>0.875</v>
      </c>
      <c r="O104" s="350">
        <v>1</v>
      </c>
      <c r="P104" s="350">
        <f t="shared" si="2"/>
        <v>0.875</v>
      </c>
      <c r="Q104" s="362"/>
      <c r="R104" s="375"/>
      <c r="S104" s="375"/>
      <c r="T104" s="375"/>
    </row>
    <row r="105" spans="1:20" s="357" customFormat="1" ht="17" x14ac:dyDescent="0.2">
      <c r="A105" s="349" t="s">
        <v>775</v>
      </c>
      <c r="B105" s="131"/>
      <c r="C105" s="131"/>
      <c r="D105" s="131"/>
      <c r="E105" s="350" t="s">
        <v>777</v>
      </c>
      <c r="F105" s="350" t="s">
        <v>778</v>
      </c>
      <c r="G105" s="350" t="s">
        <v>775</v>
      </c>
      <c r="H105" s="351"/>
      <c r="I105" s="351" t="s">
        <v>779</v>
      </c>
      <c r="J105" s="352"/>
      <c r="K105" s="351"/>
      <c r="L105" s="351" t="s">
        <v>1004</v>
      </c>
      <c r="M105" s="350">
        <v>2</v>
      </c>
      <c r="N105" s="350">
        <v>8</v>
      </c>
      <c r="O105" s="350">
        <v>1</v>
      </c>
      <c r="P105" s="350">
        <f t="shared" si="2"/>
        <v>40</v>
      </c>
      <c r="Q105" s="362"/>
      <c r="R105" s="362"/>
      <c r="S105" s="362"/>
      <c r="T105" s="362"/>
    </row>
    <row r="106" spans="1:20" s="357" customFormat="1" ht="17" x14ac:dyDescent="0.2">
      <c r="A106" s="349" t="s">
        <v>1005</v>
      </c>
      <c r="B106" s="360"/>
      <c r="C106" s="360"/>
      <c r="D106" s="131"/>
      <c r="E106" s="350" t="s">
        <v>777</v>
      </c>
      <c r="F106" s="350" t="s">
        <v>778</v>
      </c>
      <c r="G106" s="350" t="s">
        <v>563</v>
      </c>
      <c r="H106" s="351" t="s">
        <v>1006</v>
      </c>
      <c r="I106" s="351" t="s">
        <v>1007</v>
      </c>
      <c r="J106" s="352"/>
      <c r="K106" s="351" t="s">
        <v>807</v>
      </c>
      <c r="L106" s="351" t="s">
        <v>1008</v>
      </c>
      <c r="M106" s="350">
        <v>0</v>
      </c>
      <c r="N106" s="350">
        <v>5.375</v>
      </c>
      <c r="O106" s="350">
        <v>1</v>
      </c>
      <c r="P106" s="350">
        <f t="shared" si="2"/>
        <v>5.375</v>
      </c>
      <c r="R106" s="362"/>
      <c r="S106" s="362"/>
      <c r="T106" s="362"/>
    </row>
    <row r="107" spans="1:20" s="357" customFormat="1" ht="17" x14ac:dyDescent="0.2">
      <c r="A107" s="349" t="s">
        <v>1009</v>
      </c>
      <c r="B107" s="360"/>
      <c r="C107" s="360"/>
      <c r="D107" s="131"/>
      <c r="E107" s="350" t="s">
        <v>777</v>
      </c>
      <c r="F107" s="350" t="s">
        <v>1010</v>
      </c>
      <c r="G107" s="350" t="s">
        <v>563</v>
      </c>
      <c r="H107" s="351" t="s">
        <v>1006</v>
      </c>
      <c r="I107" s="351" t="s">
        <v>1007</v>
      </c>
      <c r="J107" s="352"/>
      <c r="K107" s="351" t="s">
        <v>807</v>
      </c>
      <c r="L107" s="386" t="s">
        <v>1011</v>
      </c>
      <c r="M107" s="350">
        <v>0</v>
      </c>
      <c r="N107" s="350">
        <v>9.25</v>
      </c>
      <c r="O107" s="350">
        <v>1</v>
      </c>
      <c r="P107" s="350">
        <f t="shared" si="2"/>
        <v>9.25</v>
      </c>
    </row>
    <row r="108" spans="1:20" ht="17" x14ac:dyDescent="0.2">
      <c r="A108" s="349" t="s">
        <v>1012</v>
      </c>
      <c r="B108" s="360"/>
      <c r="C108" s="360"/>
      <c r="E108" s="350" t="s">
        <v>777</v>
      </c>
      <c r="F108" s="350" t="s">
        <v>1010</v>
      </c>
      <c r="G108" s="350" t="s">
        <v>563</v>
      </c>
      <c r="H108" s="351" t="s">
        <v>1006</v>
      </c>
      <c r="I108" s="351" t="s">
        <v>1007</v>
      </c>
      <c r="K108" s="351" t="s">
        <v>826</v>
      </c>
      <c r="L108" s="351" t="s">
        <v>1013</v>
      </c>
      <c r="M108" s="350">
        <v>0</v>
      </c>
      <c r="N108" s="350">
        <v>4.875</v>
      </c>
      <c r="O108" s="350">
        <v>1</v>
      </c>
      <c r="P108" s="350">
        <f t="shared" si="2"/>
        <v>4.875</v>
      </c>
      <c r="Q108" s="362"/>
      <c r="R108" s="362"/>
      <c r="S108" s="362"/>
      <c r="T108" s="362"/>
    </row>
    <row r="109" spans="1:20" s="362" customFormat="1" ht="17" x14ac:dyDescent="0.2">
      <c r="A109" s="349" t="s">
        <v>1014</v>
      </c>
      <c r="B109" s="360"/>
      <c r="C109" s="360"/>
      <c r="D109" s="131"/>
      <c r="E109" s="350" t="s">
        <v>777</v>
      </c>
      <c r="F109" s="350" t="s">
        <v>1010</v>
      </c>
      <c r="G109" s="350" t="s">
        <v>563</v>
      </c>
      <c r="H109" s="351" t="s">
        <v>783</v>
      </c>
      <c r="I109" s="351" t="s">
        <v>1007</v>
      </c>
      <c r="J109" s="352"/>
      <c r="K109" s="351" t="s">
        <v>807</v>
      </c>
      <c r="L109" s="386" t="s">
        <v>1015</v>
      </c>
      <c r="M109" s="350">
        <v>0</v>
      </c>
      <c r="N109" s="350">
        <v>11.25</v>
      </c>
      <c r="O109" s="350">
        <v>1</v>
      </c>
      <c r="P109" s="350">
        <f t="shared" si="2"/>
        <v>11.25</v>
      </c>
      <c r="Q109" s="375"/>
    </row>
    <row r="110" spans="1:20" s="362" customFormat="1" ht="17" x14ac:dyDescent="0.2">
      <c r="A110" s="349" t="s">
        <v>1016</v>
      </c>
      <c r="B110" s="360"/>
      <c r="C110" s="360"/>
      <c r="D110" s="131"/>
      <c r="E110" s="350" t="s">
        <v>777</v>
      </c>
      <c r="F110" s="350" t="s">
        <v>1010</v>
      </c>
      <c r="G110" s="350" t="s">
        <v>563</v>
      </c>
      <c r="H110" s="351" t="s">
        <v>783</v>
      </c>
      <c r="I110" s="351" t="s">
        <v>1007</v>
      </c>
      <c r="J110" s="352"/>
      <c r="K110" s="351" t="s">
        <v>807</v>
      </c>
      <c r="L110" s="351" t="s">
        <v>1017</v>
      </c>
      <c r="M110" s="350">
        <v>0</v>
      </c>
      <c r="N110" s="350">
        <v>3.125</v>
      </c>
      <c r="O110" s="350">
        <v>1</v>
      </c>
      <c r="P110" s="350">
        <f t="shared" si="2"/>
        <v>3.125</v>
      </c>
      <c r="R110" s="357"/>
      <c r="S110" s="357"/>
      <c r="T110" s="357"/>
    </row>
    <row r="111" spans="1:20" s="362" customFormat="1" ht="17" x14ac:dyDescent="0.2">
      <c r="A111" s="349" t="s">
        <v>1018</v>
      </c>
      <c r="B111" s="360"/>
      <c r="C111" s="360"/>
      <c r="D111" s="131"/>
      <c r="E111" s="350" t="s">
        <v>777</v>
      </c>
      <c r="F111" s="350" t="s">
        <v>1010</v>
      </c>
      <c r="G111" s="350" t="s">
        <v>563</v>
      </c>
      <c r="H111" s="351" t="s">
        <v>1019</v>
      </c>
      <c r="I111" s="351" t="s">
        <v>1007</v>
      </c>
      <c r="J111" s="352"/>
      <c r="K111" s="351" t="s">
        <v>826</v>
      </c>
      <c r="L111" s="386" t="s">
        <v>1020</v>
      </c>
      <c r="M111" s="350">
        <v>0</v>
      </c>
      <c r="N111" s="350">
        <v>13.25</v>
      </c>
      <c r="O111" s="350">
        <v>1</v>
      </c>
      <c r="P111" s="350">
        <f t="shared" si="2"/>
        <v>13.25</v>
      </c>
      <c r="Q111" s="372"/>
    </row>
    <row r="112" spans="1:20" ht="17" x14ac:dyDescent="0.2">
      <c r="A112" s="349" t="s">
        <v>1021</v>
      </c>
      <c r="E112" s="350" t="s">
        <v>777</v>
      </c>
      <c r="F112" s="350" t="s">
        <v>1010</v>
      </c>
      <c r="G112" s="350" t="s">
        <v>563</v>
      </c>
      <c r="H112" s="351" t="s">
        <v>817</v>
      </c>
      <c r="I112" s="351" t="s">
        <v>779</v>
      </c>
      <c r="K112" s="351" t="s">
        <v>826</v>
      </c>
      <c r="L112" s="351" t="s">
        <v>1022</v>
      </c>
      <c r="M112" s="350">
        <v>0</v>
      </c>
      <c r="N112" s="350">
        <v>2.875</v>
      </c>
      <c r="O112" s="350">
        <v>1</v>
      </c>
      <c r="P112" s="350">
        <f t="shared" si="2"/>
        <v>2.875</v>
      </c>
    </row>
    <row r="113" spans="1:20" ht="17" x14ac:dyDescent="0.2">
      <c r="A113" s="387" t="s">
        <v>1023</v>
      </c>
      <c r="B113" s="388"/>
      <c r="C113" s="388" t="s">
        <v>776</v>
      </c>
      <c r="D113" s="388"/>
      <c r="E113" s="384" t="s">
        <v>777</v>
      </c>
      <c r="F113" s="384" t="s">
        <v>778</v>
      </c>
      <c r="G113" s="384" t="s">
        <v>782</v>
      </c>
      <c r="H113" s="369" t="s">
        <v>783</v>
      </c>
      <c r="I113" s="369" t="s">
        <v>779</v>
      </c>
      <c r="J113" s="389" t="s">
        <v>791</v>
      </c>
      <c r="K113" s="369" t="s">
        <v>788</v>
      </c>
      <c r="L113" s="369" t="s">
        <v>1024</v>
      </c>
      <c r="M113" s="384">
        <v>0</v>
      </c>
      <c r="N113" s="384">
        <f>1+1/2</f>
        <v>1.5</v>
      </c>
      <c r="O113" s="384">
        <v>1</v>
      </c>
      <c r="P113" s="384">
        <f t="shared" si="2"/>
        <v>1.5</v>
      </c>
      <c r="Q113" s="350"/>
    </row>
    <row r="114" spans="1:20" s="362" customFormat="1" ht="17" x14ac:dyDescent="0.2">
      <c r="A114" s="387" t="s">
        <v>802</v>
      </c>
      <c r="B114" s="388"/>
      <c r="C114" s="388" t="s">
        <v>776</v>
      </c>
      <c r="D114" s="388"/>
      <c r="E114" s="384" t="s">
        <v>777</v>
      </c>
      <c r="F114" s="384" t="s">
        <v>778</v>
      </c>
      <c r="G114" s="384" t="s">
        <v>782</v>
      </c>
      <c r="H114" s="369" t="s">
        <v>805</v>
      </c>
      <c r="I114" s="369" t="s">
        <v>779</v>
      </c>
      <c r="J114" s="389" t="s">
        <v>806</v>
      </c>
      <c r="K114" s="369" t="s">
        <v>807</v>
      </c>
      <c r="L114" s="390" t="s">
        <v>803</v>
      </c>
      <c r="M114" s="384">
        <v>0</v>
      </c>
      <c r="N114" s="384">
        <f>1+(7/8)</f>
        <v>1.875</v>
      </c>
      <c r="O114" s="384">
        <v>1</v>
      </c>
      <c r="P114" s="384">
        <f t="shared" si="2"/>
        <v>1.875</v>
      </c>
      <c r="Q114" s="356"/>
      <c r="R114" s="356"/>
      <c r="S114" s="357"/>
      <c r="T114" s="357"/>
    </row>
    <row r="115" spans="1:20" s="375" customFormat="1" ht="17" x14ac:dyDescent="0.2">
      <c r="A115" s="349" t="s">
        <v>821</v>
      </c>
      <c r="B115" s="131"/>
      <c r="C115" s="131"/>
      <c r="D115" s="131"/>
      <c r="E115" s="350" t="s">
        <v>777</v>
      </c>
      <c r="F115" s="350" t="s">
        <v>810</v>
      </c>
      <c r="G115" s="350" t="s">
        <v>822</v>
      </c>
      <c r="H115" s="351" t="s">
        <v>805</v>
      </c>
      <c r="I115" s="351" t="s">
        <v>779</v>
      </c>
      <c r="J115" s="352"/>
      <c r="K115" s="351" t="s">
        <v>823</v>
      </c>
      <c r="L115" s="386" t="s">
        <v>1025</v>
      </c>
      <c r="M115" s="350">
        <v>0</v>
      </c>
      <c r="N115" s="350">
        <v>2</v>
      </c>
      <c r="O115" s="350">
        <v>1</v>
      </c>
      <c r="P115" s="350">
        <f t="shared" si="2"/>
        <v>2</v>
      </c>
      <c r="Q115" s="372"/>
      <c r="R115" s="357"/>
      <c r="S115" s="357"/>
      <c r="T115" s="357"/>
    </row>
    <row r="116" spans="1:20" s="357" customFormat="1" ht="17" x14ac:dyDescent="0.2">
      <c r="A116" s="387" t="s">
        <v>1026</v>
      </c>
      <c r="B116" s="388"/>
      <c r="C116" s="388" t="s">
        <v>776</v>
      </c>
      <c r="D116" s="388"/>
      <c r="E116" s="384" t="s">
        <v>777</v>
      </c>
      <c r="F116" s="384" t="s">
        <v>778</v>
      </c>
      <c r="G116" s="384" t="s">
        <v>1027</v>
      </c>
      <c r="H116" s="369"/>
      <c r="I116" s="369"/>
      <c r="J116" s="389" t="s">
        <v>924</v>
      </c>
      <c r="K116" s="369" t="s">
        <v>807</v>
      </c>
      <c r="L116" s="369" t="s">
        <v>1028</v>
      </c>
      <c r="M116" s="384">
        <v>0</v>
      </c>
      <c r="N116" s="384">
        <f>7+(1/4)</f>
        <v>7.25</v>
      </c>
      <c r="O116" s="384">
        <v>1</v>
      </c>
      <c r="P116" s="384">
        <f t="shared" si="2"/>
        <v>7.25</v>
      </c>
    </row>
    <row r="117" spans="1:20" s="369" customFormat="1" ht="17" x14ac:dyDescent="0.2">
      <c r="A117" s="387" t="s">
        <v>1029</v>
      </c>
      <c r="B117" s="388"/>
      <c r="C117" s="388" t="s">
        <v>776</v>
      </c>
      <c r="D117" s="388"/>
      <c r="E117" s="384" t="s">
        <v>777</v>
      </c>
      <c r="F117" s="384" t="s">
        <v>778</v>
      </c>
      <c r="G117" s="384" t="s">
        <v>862</v>
      </c>
      <c r="H117" s="369" t="s">
        <v>817</v>
      </c>
      <c r="I117" s="369" t="s">
        <v>1030</v>
      </c>
      <c r="J117" s="389"/>
      <c r="K117" s="369" t="s">
        <v>784</v>
      </c>
      <c r="L117" s="369" t="s">
        <v>1031</v>
      </c>
      <c r="M117" s="384">
        <v>0</v>
      </c>
      <c r="N117" s="384">
        <v>14</v>
      </c>
      <c r="O117" s="384">
        <v>1</v>
      </c>
      <c r="P117" s="384">
        <f t="shared" si="2"/>
        <v>14</v>
      </c>
    </row>
    <row r="118" spans="1:20" s="362" customFormat="1" ht="17" x14ac:dyDescent="0.2">
      <c r="A118" s="349" t="s">
        <v>1032</v>
      </c>
      <c r="B118" s="131"/>
      <c r="C118" s="131"/>
      <c r="D118" s="131"/>
      <c r="E118" s="350" t="s">
        <v>777</v>
      </c>
      <c r="F118" s="350" t="s">
        <v>870</v>
      </c>
      <c r="G118" s="350" t="s">
        <v>862</v>
      </c>
      <c r="H118" s="351"/>
      <c r="I118" s="351"/>
      <c r="J118" s="352"/>
      <c r="K118" s="351" t="s">
        <v>1033</v>
      </c>
      <c r="L118" s="351" t="s">
        <v>1034</v>
      </c>
      <c r="M118" s="350">
        <v>0</v>
      </c>
      <c r="N118" s="350">
        <f>3+(7/8)</f>
        <v>3.875</v>
      </c>
      <c r="O118" s="350">
        <v>1</v>
      </c>
      <c r="P118" s="350">
        <f t="shared" si="2"/>
        <v>3.875</v>
      </c>
      <c r="Q118" s="350"/>
      <c r="R118" s="367"/>
      <c r="S118" s="367"/>
      <c r="T118" s="367"/>
    </row>
    <row r="119" spans="1:20" s="362" customFormat="1" ht="17" x14ac:dyDescent="0.2">
      <c r="A119" s="349" t="s">
        <v>1035</v>
      </c>
      <c r="B119" s="131"/>
      <c r="C119" s="131"/>
      <c r="D119" s="131"/>
      <c r="E119" s="350" t="s">
        <v>777</v>
      </c>
      <c r="F119" s="350" t="s">
        <v>870</v>
      </c>
      <c r="G119" s="350" t="s">
        <v>862</v>
      </c>
      <c r="H119" s="351"/>
      <c r="I119" s="351"/>
      <c r="J119" s="352"/>
      <c r="K119" s="351"/>
      <c r="L119" s="351" t="s">
        <v>1036</v>
      </c>
      <c r="M119" s="350">
        <v>1</v>
      </c>
      <c r="N119" s="350">
        <f>4+(3/8)</f>
        <v>4.375</v>
      </c>
      <c r="O119" s="350">
        <v>1</v>
      </c>
      <c r="P119" s="350">
        <f t="shared" si="2"/>
        <v>20.375</v>
      </c>
      <c r="Q119" s="350"/>
      <c r="R119" s="367"/>
      <c r="S119" s="367"/>
      <c r="T119" s="367"/>
    </row>
    <row r="120" spans="1:20" s="362" customFormat="1" ht="153" x14ac:dyDescent="0.2">
      <c r="A120" s="99" t="s">
        <v>1037</v>
      </c>
      <c r="B120" s="131"/>
      <c r="C120" s="131"/>
      <c r="D120" s="131"/>
      <c r="E120" s="131" t="s">
        <v>777</v>
      </c>
      <c r="F120" s="131" t="s">
        <v>778</v>
      </c>
      <c r="G120" s="131" t="s">
        <v>867</v>
      </c>
      <c r="H120" s="391"/>
      <c r="I120" s="391"/>
      <c r="J120" s="391" t="s">
        <v>1038</v>
      </c>
      <c r="K120" s="391" t="s">
        <v>868</v>
      </c>
      <c r="L120" s="99" t="s">
        <v>1039</v>
      </c>
      <c r="M120" s="131">
        <v>0</v>
      </c>
      <c r="N120" s="131">
        <f>8+(1/8)</f>
        <v>8.125</v>
      </c>
      <c r="O120" s="131">
        <v>1</v>
      </c>
      <c r="P120" s="131">
        <f t="shared" si="2"/>
        <v>8.125</v>
      </c>
      <c r="Q120" s="350"/>
      <c r="R120" s="351"/>
      <c r="S120" s="351"/>
      <c r="T120" s="351"/>
    </row>
    <row r="121" spans="1:20" s="357" customFormat="1" ht="17" x14ac:dyDescent="0.2">
      <c r="A121" s="387" t="s">
        <v>1040</v>
      </c>
      <c r="B121" s="388"/>
      <c r="C121" s="388" t="s">
        <v>776</v>
      </c>
      <c r="D121" s="388"/>
      <c r="E121" s="384" t="s">
        <v>777</v>
      </c>
      <c r="F121" s="384" t="s">
        <v>778</v>
      </c>
      <c r="G121" s="384" t="s">
        <v>562</v>
      </c>
      <c r="H121" s="369"/>
      <c r="I121" s="369"/>
      <c r="J121" s="389" t="s">
        <v>849</v>
      </c>
      <c r="K121" s="369" t="s">
        <v>807</v>
      </c>
      <c r="L121" s="387" t="s">
        <v>1041</v>
      </c>
      <c r="M121" s="384">
        <v>0</v>
      </c>
      <c r="N121" s="384">
        <f>3+1/4</f>
        <v>3.25</v>
      </c>
      <c r="O121" s="384">
        <v>1</v>
      </c>
      <c r="P121" s="384">
        <f t="shared" si="2"/>
        <v>3.25</v>
      </c>
      <c r="Q121" s="351"/>
      <c r="R121" s="367"/>
      <c r="S121" s="367"/>
      <c r="T121" s="367"/>
    </row>
    <row r="122" spans="1:20" s="362" customFormat="1" ht="17" x14ac:dyDescent="0.2">
      <c r="A122" s="349" t="s">
        <v>1042</v>
      </c>
      <c r="B122" s="360"/>
      <c r="C122" s="360"/>
      <c r="D122" s="131"/>
      <c r="E122" s="350" t="s">
        <v>777</v>
      </c>
      <c r="F122" s="350" t="s">
        <v>1010</v>
      </c>
      <c r="G122" s="350" t="s">
        <v>562</v>
      </c>
      <c r="H122" s="351"/>
      <c r="I122" s="351"/>
      <c r="J122" s="352"/>
      <c r="K122" s="351" t="s">
        <v>807</v>
      </c>
      <c r="L122" s="351" t="s">
        <v>1043</v>
      </c>
      <c r="M122" s="350">
        <v>0</v>
      </c>
      <c r="N122" s="350">
        <v>1.75</v>
      </c>
      <c r="O122" s="350">
        <v>1</v>
      </c>
      <c r="P122" s="350">
        <f t="shared" si="2"/>
        <v>1.75</v>
      </c>
      <c r="Q122" s="351"/>
      <c r="R122" s="367"/>
      <c r="S122" s="367"/>
      <c r="T122" s="367"/>
    </row>
    <row r="123" spans="1:20" s="357" customFormat="1" ht="17" x14ac:dyDescent="0.2">
      <c r="A123" s="349" t="s">
        <v>1044</v>
      </c>
      <c r="B123" s="360"/>
      <c r="C123" s="360"/>
      <c r="D123" s="131"/>
      <c r="E123" s="350" t="s">
        <v>777</v>
      </c>
      <c r="F123" s="350" t="s">
        <v>1010</v>
      </c>
      <c r="G123" s="350" t="s">
        <v>562</v>
      </c>
      <c r="H123" s="351"/>
      <c r="I123" s="351"/>
      <c r="J123" s="352"/>
      <c r="K123" s="351" t="s">
        <v>807</v>
      </c>
      <c r="L123" s="351" t="s">
        <v>1045</v>
      </c>
      <c r="M123" s="350">
        <v>0</v>
      </c>
      <c r="N123" s="350">
        <v>3.4</v>
      </c>
      <c r="O123" s="350">
        <v>1</v>
      </c>
      <c r="P123" s="350">
        <f t="shared" si="2"/>
        <v>3.4</v>
      </c>
      <c r="Q123" s="351"/>
      <c r="R123" s="367"/>
      <c r="S123" s="367"/>
      <c r="T123" s="367"/>
    </row>
    <row r="124" spans="1:20" s="369" customFormat="1" ht="17" x14ac:dyDescent="0.2">
      <c r="A124" s="387" t="s">
        <v>1046</v>
      </c>
      <c r="B124" s="388"/>
      <c r="C124" s="388" t="s">
        <v>776</v>
      </c>
      <c r="D124" s="388"/>
      <c r="E124" s="384" t="s">
        <v>777</v>
      </c>
      <c r="F124" s="384" t="s">
        <v>810</v>
      </c>
      <c r="G124" s="384" t="s">
        <v>915</v>
      </c>
      <c r="J124" s="389"/>
      <c r="K124" s="369" t="s">
        <v>846</v>
      </c>
      <c r="L124" s="387" t="s">
        <v>1047</v>
      </c>
      <c r="M124" s="384">
        <v>0</v>
      </c>
      <c r="N124" s="384">
        <v>1</v>
      </c>
      <c r="O124" s="384">
        <v>1</v>
      </c>
      <c r="P124" s="384">
        <f t="shared" si="2"/>
        <v>1</v>
      </c>
    </row>
    <row r="125" spans="1:20" s="357" customFormat="1" ht="17" x14ac:dyDescent="0.2">
      <c r="A125" s="387" t="s">
        <v>1048</v>
      </c>
      <c r="B125" s="388"/>
      <c r="C125" s="388" t="s">
        <v>776</v>
      </c>
      <c r="D125" s="388"/>
      <c r="E125" s="384" t="s">
        <v>777</v>
      </c>
      <c r="F125" s="384" t="s">
        <v>778</v>
      </c>
      <c r="G125" s="384" t="s">
        <v>607</v>
      </c>
      <c r="H125" s="369"/>
      <c r="I125" s="369"/>
      <c r="J125" s="389" t="s">
        <v>1049</v>
      </c>
      <c r="K125" s="369" t="s">
        <v>823</v>
      </c>
      <c r="L125" s="369" t="s">
        <v>1050</v>
      </c>
      <c r="M125" s="384">
        <v>0</v>
      </c>
      <c r="N125" s="384">
        <f>2+3/8</f>
        <v>2.375</v>
      </c>
      <c r="O125" s="384">
        <v>1</v>
      </c>
      <c r="P125" s="384">
        <f t="shared" si="2"/>
        <v>2.375</v>
      </c>
      <c r="Q125" s="351"/>
      <c r="R125" s="351"/>
      <c r="S125" s="351"/>
      <c r="T125" s="351"/>
    </row>
    <row r="126" spans="1:20" s="362" customFormat="1" ht="17" x14ac:dyDescent="0.2">
      <c r="A126" s="349" t="s">
        <v>1051</v>
      </c>
      <c r="B126" s="360"/>
      <c r="C126" s="360"/>
      <c r="D126" s="131"/>
      <c r="E126" s="350" t="s">
        <v>777</v>
      </c>
      <c r="F126" s="350" t="s">
        <v>1010</v>
      </c>
      <c r="G126" s="350" t="s">
        <v>607</v>
      </c>
      <c r="H126" s="351"/>
      <c r="I126" s="351"/>
      <c r="J126" s="352"/>
      <c r="K126" s="351"/>
      <c r="L126" s="351" t="s">
        <v>1052</v>
      </c>
      <c r="M126" s="350">
        <v>0</v>
      </c>
      <c r="N126" s="350">
        <v>0.75</v>
      </c>
      <c r="O126" s="350">
        <v>1</v>
      </c>
      <c r="P126" s="350">
        <f t="shared" si="2"/>
        <v>0.75</v>
      </c>
      <c r="Q126" s="350"/>
      <c r="R126" s="350"/>
      <c r="S126" s="351"/>
      <c r="T126" s="351"/>
    </row>
    <row r="127" spans="1:20" s="357" customFormat="1" ht="17" x14ac:dyDescent="0.2">
      <c r="A127" s="349" t="s">
        <v>1053</v>
      </c>
      <c r="B127" s="131"/>
      <c r="C127" s="131"/>
      <c r="D127" s="131"/>
      <c r="E127" s="350" t="s">
        <v>777</v>
      </c>
      <c r="F127" s="350" t="s">
        <v>1010</v>
      </c>
      <c r="G127" s="350" t="s">
        <v>618</v>
      </c>
      <c r="H127" s="351"/>
      <c r="I127" s="351"/>
      <c r="J127" s="352" t="s">
        <v>1054</v>
      </c>
      <c r="K127" s="351" t="s">
        <v>868</v>
      </c>
      <c r="L127" s="351" t="s">
        <v>1055</v>
      </c>
      <c r="M127" s="350">
        <v>0</v>
      </c>
      <c r="N127" s="350">
        <v>12</v>
      </c>
      <c r="O127" s="350">
        <v>1</v>
      </c>
      <c r="P127" s="350">
        <f t="shared" si="2"/>
        <v>12</v>
      </c>
      <c r="Q127" s="350"/>
      <c r="R127" s="350"/>
      <c r="S127" s="351"/>
      <c r="T127" s="351"/>
    </row>
    <row r="128" spans="1:20" s="367" customFormat="1" ht="17" x14ac:dyDescent="0.2">
      <c r="A128" s="349" t="s">
        <v>1056</v>
      </c>
      <c r="B128" s="131"/>
      <c r="C128" s="131"/>
      <c r="D128" s="131"/>
      <c r="E128" s="350" t="s">
        <v>777</v>
      </c>
      <c r="F128" s="350" t="s">
        <v>1010</v>
      </c>
      <c r="G128" s="350" t="s">
        <v>618</v>
      </c>
      <c r="H128" s="351"/>
      <c r="I128" s="351"/>
      <c r="J128" s="352" t="s">
        <v>1057</v>
      </c>
      <c r="K128" s="351" t="s">
        <v>823</v>
      </c>
      <c r="L128" s="351" t="s">
        <v>1058</v>
      </c>
      <c r="M128" s="350">
        <v>0</v>
      </c>
      <c r="N128" s="350">
        <v>1</v>
      </c>
      <c r="O128" s="350">
        <v>1</v>
      </c>
      <c r="P128" s="350">
        <f t="shared" si="2"/>
        <v>1</v>
      </c>
      <c r="Q128" s="392"/>
      <c r="R128" s="392"/>
    </row>
    <row r="129" spans="1:20" s="357" customFormat="1" ht="17" x14ac:dyDescent="0.2">
      <c r="A129" s="349" t="s">
        <v>1059</v>
      </c>
      <c r="B129" s="131"/>
      <c r="C129" s="131"/>
      <c r="D129" s="131"/>
      <c r="E129" s="350" t="s">
        <v>777</v>
      </c>
      <c r="F129" s="350" t="s">
        <v>778</v>
      </c>
      <c r="G129" s="350" t="s">
        <v>968</v>
      </c>
      <c r="H129" s="351"/>
      <c r="I129" s="351" t="s">
        <v>1007</v>
      </c>
      <c r="J129" s="352"/>
      <c r="K129" s="351" t="s">
        <v>970</v>
      </c>
      <c r="L129" s="351" t="s">
        <v>1060</v>
      </c>
      <c r="M129" s="350">
        <v>0</v>
      </c>
      <c r="N129" s="350">
        <v>14</v>
      </c>
      <c r="O129" s="350">
        <v>1</v>
      </c>
      <c r="P129" s="350">
        <f t="shared" si="2"/>
        <v>14</v>
      </c>
      <c r="Q129" s="367"/>
      <c r="R129" s="367"/>
      <c r="S129" s="367"/>
      <c r="T129" s="367"/>
    </row>
    <row r="130" spans="1:20" s="357" customFormat="1" ht="17" x14ac:dyDescent="0.2">
      <c r="A130" s="349" t="s">
        <v>1061</v>
      </c>
      <c r="B130" s="131"/>
      <c r="C130" s="131"/>
      <c r="D130" s="131"/>
      <c r="E130" s="350" t="s">
        <v>777</v>
      </c>
      <c r="F130" s="350" t="s">
        <v>1010</v>
      </c>
      <c r="G130" s="350" t="s">
        <v>968</v>
      </c>
      <c r="H130" s="351"/>
      <c r="I130" s="351"/>
      <c r="J130" s="352"/>
      <c r="K130" s="351" t="s">
        <v>807</v>
      </c>
      <c r="L130" s="386" t="s">
        <v>1062</v>
      </c>
      <c r="M130" s="350">
        <v>0</v>
      </c>
      <c r="N130" s="350">
        <v>14.625</v>
      </c>
      <c r="O130" s="350">
        <v>1</v>
      </c>
      <c r="P130" s="393">
        <f t="shared" si="2"/>
        <v>14.625</v>
      </c>
      <c r="Q130" s="367"/>
      <c r="R130" s="367"/>
      <c r="S130" s="367"/>
      <c r="T130" s="367"/>
    </row>
    <row r="131" spans="1:20" s="362" customFormat="1" ht="17" x14ac:dyDescent="0.2">
      <c r="A131" s="349" t="s">
        <v>1063</v>
      </c>
      <c r="B131" s="131"/>
      <c r="C131" s="131"/>
      <c r="D131" s="131"/>
      <c r="E131" s="350" t="s">
        <v>777</v>
      </c>
      <c r="F131" s="350" t="s">
        <v>1010</v>
      </c>
      <c r="G131" s="350" t="s">
        <v>968</v>
      </c>
      <c r="H131" s="351"/>
      <c r="I131" s="351"/>
      <c r="J131" s="352"/>
      <c r="K131" s="351" t="s">
        <v>1064</v>
      </c>
      <c r="L131" s="386" t="s">
        <v>1065</v>
      </c>
      <c r="M131" s="350">
        <v>2</v>
      </c>
      <c r="N131" s="350">
        <v>2.375</v>
      </c>
      <c r="O131" s="350">
        <v>1</v>
      </c>
      <c r="P131" s="393">
        <f t="shared" si="2"/>
        <v>34.375</v>
      </c>
      <c r="Q131" s="367"/>
      <c r="R131" s="367"/>
      <c r="S131" s="367"/>
      <c r="T131" s="367"/>
    </row>
    <row r="132" spans="1:20" s="362" customFormat="1" ht="17" x14ac:dyDescent="0.2">
      <c r="A132" s="349" t="s">
        <v>1066</v>
      </c>
      <c r="B132" s="131"/>
      <c r="C132" s="131"/>
      <c r="D132" s="131"/>
      <c r="E132" s="350" t="s">
        <v>777</v>
      </c>
      <c r="F132" s="350" t="s">
        <v>1010</v>
      </c>
      <c r="G132" s="350" t="s">
        <v>968</v>
      </c>
      <c r="H132" s="351"/>
      <c r="I132" s="351"/>
      <c r="J132" s="352"/>
      <c r="K132" s="351" t="s">
        <v>1064</v>
      </c>
      <c r="L132" s="386" t="s">
        <v>1067</v>
      </c>
      <c r="M132" s="350">
        <v>1</v>
      </c>
      <c r="N132" s="350">
        <v>6.25</v>
      </c>
      <c r="O132" s="350">
        <v>1</v>
      </c>
      <c r="P132" s="393">
        <f t="shared" si="2"/>
        <v>22.25</v>
      </c>
      <c r="Q132" s="367"/>
      <c r="R132" s="351"/>
      <c r="S132" s="351"/>
      <c r="T132" s="351"/>
    </row>
    <row r="133" spans="1:20" s="362" customFormat="1" ht="17" x14ac:dyDescent="0.2">
      <c r="A133" s="349" t="s">
        <v>1068</v>
      </c>
      <c r="B133" s="131"/>
      <c r="C133" s="131"/>
      <c r="D133" s="131"/>
      <c r="E133" s="350" t="s">
        <v>777</v>
      </c>
      <c r="F133" s="350" t="s">
        <v>1010</v>
      </c>
      <c r="G133" s="350" t="s">
        <v>968</v>
      </c>
      <c r="H133" s="351"/>
      <c r="I133" s="351"/>
      <c r="J133" s="352"/>
      <c r="K133" s="351" t="s">
        <v>1064</v>
      </c>
      <c r="L133" s="351" t="s">
        <v>1069</v>
      </c>
      <c r="M133" s="350">
        <v>2</v>
      </c>
      <c r="N133" s="350">
        <v>3.875</v>
      </c>
      <c r="O133" s="350">
        <v>1</v>
      </c>
      <c r="P133" s="350">
        <f t="shared" si="2"/>
        <v>35.875</v>
      </c>
      <c r="Q133" s="351"/>
      <c r="R133" s="367"/>
      <c r="S133" s="367"/>
      <c r="T133" s="367"/>
    </row>
    <row r="134" spans="1:20" s="362" customFormat="1" ht="17" x14ac:dyDescent="0.2">
      <c r="A134" s="349" t="s">
        <v>1070</v>
      </c>
      <c r="B134" s="131"/>
      <c r="C134" s="131"/>
      <c r="D134" s="131"/>
      <c r="E134" s="350" t="s">
        <v>777</v>
      </c>
      <c r="F134" s="350" t="s">
        <v>1010</v>
      </c>
      <c r="G134" s="350" t="s">
        <v>968</v>
      </c>
      <c r="H134" s="351"/>
      <c r="I134" s="351"/>
      <c r="J134" s="352"/>
      <c r="K134" s="351" t="s">
        <v>985</v>
      </c>
      <c r="L134" s="351" t="s">
        <v>1071</v>
      </c>
      <c r="M134" s="350">
        <v>1</v>
      </c>
      <c r="N134" s="350">
        <v>6</v>
      </c>
      <c r="O134" s="350">
        <v>1</v>
      </c>
      <c r="P134" s="393">
        <f t="shared" si="2"/>
        <v>22</v>
      </c>
      <c r="Q134" s="367"/>
      <c r="R134" s="351"/>
      <c r="S134" s="351"/>
      <c r="T134" s="351"/>
    </row>
    <row r="135" spans="1:20" s="367" customFormat="1" ht="17" x14ac:dyDescent="0.2">
      <c r="A135" s="349" t="s">
        <v>1072</v>
      </c>
      <c r="B135" s="131"/>
      <c r="C135" s="131"/>
      <c r="D135" s="131"/>
      <c r="E135" s="350" t="s">
        <v>777</v>
      </c>
      <c r="F135" s="350" t="s">
        <v>778</v>
      </c>
      <c r="G135" s="350" t="s">
        <v>602</v>
      </c>
      <c r="H135" s="351"/>
      <c r="I135" s="351"/>
      <c r="J135" s="352"/>
      <c r="K135" s="351" t="s">
        <v>868</v>
      </c>
      <c r="L135" s="386" t="s">
        <v>1073</v>
      </c>
      <c r="M135" s="350">
        <v>0</v>
      </c>
      <c r="N135" s="350">
        <v>1.5</v>
      </c>
      <c r="O135" s="350">
        <v>1</v>
      </c>
      <c r="P135" s="393">
        <f t="shared" si="2"/>
        <v>1.5</v>
      </c>
      <c r="Q135" s="351"/>
      <c r="R135" s="351"/>
      <c r="S135" s="351"/>
      <c r="T135" s="351"/>
    </row>
    <row r="136" spans="1:20" ht="17" x14ac:dyDescent="0.2">
      <c r="A136" s="349" t="s">
        <v>1074</v>
      </c>
      <c r="E136" s="350" t="s">
        <v>777</v>
      </c>
      <c r="F136" s="350" t="s">
        <v>1010</v>
      </c>
      <c r="G136" s="350" t="s">
        <v>602</v>
      </c>
      <c r="J136" s="352" t="s">
        <v>1075</v>
      </c>
      <c r="K136" s="351" t="s">
        <v>807</v>
      </c>
      <c r="L136" s="386" t="s">
        <v>1076</v>
      </c>
      <c r="M136" s="350">
        <v>0</v>
      </c>
      <c r="N136" s="350">
        <v>0.5</v>
      </c>
      <c r="O136" s="350">
        <v>1</v>
      </c>
      <c r="P136" s="350">
        <f t="shared" si="2"/>
        <v>0.5</v>
      </c>
    </row>
    <row r="137" spans="1:20" s="362" customFormat="1" ht="17" x14ac:dyDescent="0.2">
      <c r="A137" s="349" t="s">
        <v>1077</v>
      </c>
      <c r="B137" s="131"/>
      <c r="C137" s="131"/>
      <c r="D137" s="131"/>
      <c r="E137" s="350" t="s">
        <v>998</v>
      </c>
      <c r="F137" s="350" t="s">
        <v>778</v>
      </c>
      <c r="G137" s="350" t="s">
        <v>775</v>
      </c>
      <c r="H137" s="351"/>
      <c r="I137" s="351"/>
      <c r="J137" s="352"/>
      <c r="K137" s="351"/>
      <c r="L137" s="351" t="s">
        <v>1078</v>
      </c>
      <c r="M137" s="350">
        <v>1</v>
      </c>
      <c r="N137" s="350">
        <v>0</v>
      </c>
      <c r="O137" s="350">
        <v>1</v>
      </c>
      <c r="P137" s="350">
        <f t="shared" si="2"/>
        <v>16</v>
      </c>
      <c r="Q137" s="351"/>
      <c r="R137" s="367"/>
      <c r="S137" s="367"/>
      <c r="T137" s="367"/>
    </row>
    <row r="138" spans="1:20" ht="17" x14ac:dyDescent="0.2">
      <c r="A138" s="349" t="s">
        <v>1079</v>
      </c>
      <c r="E138" s="350" t="s">
        <v>998</v>
      </c>
      <c r="F138" s="350" t="s">
        <v>1010</v>
      </c>
      <c r="G138" s="350" t="s">
        <v>563</v>
      </c>
      <c r="H138" s="351" t="s">
        <v>783</v>
      </c>
      <c r="I138" s="351" t="s">
        <v>1007</v>
      </c>
      <c r="K138" s="351" t="s">
        <v>807</v>
      </c>
      <c r="L138" s="349" t="s">
        <v>1080</v>
      </c>
      <c r="M138" s="350">
        <v>0</v>
      </c>
      <c r="N138" s="350">
        <v>3.125</v>
      </c>
      <c r="O138" s="350">
        <v>1</v>
      </c>
      <c r="P138" s="350">
        <f t="shared" si="2"/>
        <v>3.125</v>
      </c>
      <c r="Q138" s="367"/>
    </row>
    <row r="139" spans="1:20" s="362" customFormat="1" ht="17" x14ac:dyDescent="0.2">
      <c r="A139" s="349" t="s">
        <v>1081</v>
      </c>
      <c r="B139" s="131"/>
      <c r="C139" s="131"/>
      <c r="D139" s="131"/>
      <c r="E139" s="350" t="s">
        <v>998</v>
      </c>
      <c r="F139" s="350" t="s">
        <v>778</v>
      </c>
      <c r="G139" s="350" t="s">
        <v>563</v>
      </c>
      <c r="H139" s="351" t="s">
        <v>783</v>
      </c>
      <c r="I139" s="351" t="s">
        <v>779</v>
      </c>
      <c r="J139" s="352"/>
      <c r="K139" s="351" t="s">
        <v>807</v>
      </c>
      <c r="L139" s="386" t="s">
        <v>1082</v>
      </c>
      <c r="M139" s="350">
        <v>0</v>
      </c>
      <c r="N139" s="350">
        <v>3.125</v>
      </c>
      <c r="O139" s="350">
        <v>1</v>
      </c>
      <c r="P139" s="350">
        <f t="shared" si="2"/>
        <v>3.125</v>
      </c>
      <c r="Q139" s="351"/>
      <c r="R139" s="367"/>
      <c r="S139" s="367"/>
      <c r="T139" s="367"/>
    </row>
    <row r="140" spans="1:20" s="362" customFormat="1" ht="17" x14ac:dyDescent="0.2">
      <c r="A140" s="349" t="s">
        <v>793</v>
      </c>
      <c r="B140" s="131"/>
      <c r="C140" s="131"/>
      <c r="D140" s="131"/>
      <c r="E140" s="350" t="s">
        <v>998</v>
      </c>
      <c r="F140" s="350" t="s">
        <v>778</v>
      </c>
      <c r="G140" s="350" t="s">
        <v>563</v>
      </c>
      <c r="H140" s="351" t="s">
        <v>783</v>
      </c>
      <c r="I140" s="351" t="s">
        <v>779</v>
      </c>
      <c r="J140" s="352" t="s">
        <v>791</v>
      </c>
      <c r="K140" s="351" t="s">
        <v>788</v>
      </c>
      <c r="L140" s="351" t="s">
        <v>1083</v>
      </c>
      <c r="M140" s="350">
        <v>0</v>
      </c>
      <c r="N140" s="350">
        <v>6</v>
      </c>
      <c r="O140" s="350">
        <v>1</v>
      </c>
      <c r="P140" s="350">
        <f t="shared" ref="P140:P163" si="3">O140*((M140*16)+N140)</f>
        <v>6</v>
      </c>
      <c r="Q140" s="367"/>
      <c r="R140" s="367"/>
      <c r="S140" s="367"/>
      <c r="T140" s="367"/>
    </row>
    <row r="141" spans="1:20" s="375" customFormat="1" ht="17" x14ac:dyDescent="0.2">
      <c r="A141" s="349" t="s">
        <v>1084</v>
      </c>
      <c r="B141" s="131"/>
      <c r="C141" s="131"/>
      <c r="D141" s="131"/>
      <c r="E141" s="350" t="s">
        <v>998</v>
      </c>
      <c r="F141" s="350" t="s">
        <v>778</v>
      </c>
      <c r="G141" s="350" t="s">
        <v>563</v>
      </c>
      <c r="H141" s="351" t="s">
        <v>783</v>
      </c>
      <c r="I141" s="351" t="s">
        <v>779</v>
      </c>
      <c r="J141" s="352"/>
      <c r="K141" s="351" t="s">
        <v>788</v>
      </c>
      <c r="L141" s="386" t="s">
        <v>1085</v>
      </c>
      <c r="M141" s="350">
        <v>0</v>
      </c>
      <c r="N141" s="350">
        <v>3.5</v>
      </c>
      <c r="O141" s="350">
        <v>1</v>
      </c>
      <c r="P141" s="350">
        <f t="shared" si="3"/>
        <v>3.5</v>
      </c>
      <c r="Q141" s="367"/>
      <c r="R141" s="351"/>
      <c r="S141" s="351"/>
      <c r="T141" s="351"/>
    </row>
    <row r="142" spans="1:20" s="367" customFormat="1" ht="17" x14ac:dyDescent="0.2">
      <c r="A142" s="349" t="s">
        <v>1086</v>
      </c>
      <c r="B142" s="131"/>
      <c r="C142" s="131"/>
      <c r="D142" s="131"/>
      <c r="E142" s="350" t="s">
        <v>998</v>
      </c>
      <c r="F142" s="350" t="s">
        <v>778</v>
      </c>
      <c r="G142" s="350" t="s">
        <v>563</v>
      </c>
      <c r="H142" s="351" t="s">
        <v>783</v>
      </c>
      <c r="I142" s="351" t="s">
        <v>779</v>
      </c>
      <c r="J142" s="352"/>
      <c r="K142" s="351" t="s">
        <v>788</v>
      </c>
      <c r="L142" s="386" t="s">
        <v>1087</v>
      </c>
      <c r="M142" s="350">
        <v>0</v>
      </c>
      <c r="N142" s="350">
        <v>2.25</v>
      </c>
      <c r="O142" s="350">
        <v>1</v>
      </c>
      <c r="P142" s="350">
        <f t="shared" si="3"/>
        <v>2.25</v>
      </c>
      <c r="Q142" s="351"/>
      <c r="R142" s="351"/>
      <c r="S142" s="351"/>
      <c r="T142" s="351"/>
    </row>
    <row r="143" spans="1:20" ht="17" x14ac:dyDescent="0.2">
      <c r="A143" s="349" t="s">
        <v>1088</v>
      </c>
      <c r="E143" s="350" t="s">
        <v>998</v>
      </c>
      <c r="F143" s="350" t="s">
        <v>778</v>
      </c>
      <c r="G143" s="350" t="s">
        <v>563</v>
      </c>
      <c r="H143" s="351" t="s">
        <v>805</v>
      </c>
      <c r="K143" s="351" t="s">
        <v>807</v>
      </c>
      <c r="L143" s="351" t="s">
        <v>1089</v>
      </c>
      <c r="M143" s="350">
        <v>0</v>
      </c>
      <c r="N143" s="350">
        <v>12.375</v>
      </c>
      <c r="O143" s="350">
        <v>1</v>
      </c>
      <c r="P143" s="350">
        <f t="shared" si="3"/>
        <v>12.375</v>
      </c>
      <c r="R143" s="367"/>
      <c r="S143" s="367"/>
      <c r="T143" s="367"/>
    </row>
    <row r="144" spans="1:20" ht="17" x14ac:dyDescent="0.2">
      <c r="A144" s="349" t="s">
        <v>1090</v>
      </c>
      <c r="E144" s="350" t="s">
        <v>998</v>
      </c>
      <c r="F144" s="350" t="s">
        <v>778</v>
      </c>
      <c r="G144" s="350" t="s">
        <v>563</v>
      </c>
      <c r="H144" s="351" t="s">
        <v>805</v>
      </c>
      <c r="I144" s="351" t="s">
        <v>779</v>
      </c>
      <c r="K144" s="351" t="s">
        <v>807</v>
      </c>
      <c r="L144" s="386" t="s">
        <v>1091</v>
      </c>
      <c r="M144" s="350">
        <v>0</v>
      </c>
      <c r="N144" s="350">
        <v>3.875</v>
      </c>
      <c r="O144" s="350">
        <v>1</v>
      </c>
      <c r="P144" s="350">
        <f t="shared" si="3"/>
        <v>3.875</v>
      </c>
      <c r="R144" s="367"/>
      <c r="S144" s="367"/>
      <c r="T144" s="367"/>
    </row>
    <row r="145" spans="1:20" s="362" customFormat="1" ht="17" x14ac:dyDescent="0.2">
      <c r="A145" s="349" t="s">
        <v>1092</v>
      </c>
      <c r="B145" s="131"/>
      <c r="C145" s="131"/>
      <c r="D145" s="131"/>
      <c r="E145" s="350" t="s">
        <v>998</v>
      </c>
      <c r="F145" s="350" t="s">
        <v>778</v>
      </c>
      <c r="G145" s="350" t="s">
        <v>563</v>
      </c>
      <c r="H145" s="351" t="s">
        <v>805</v>
      </c>
      <c r="I145" s="351"/>
      <c r="J145" s="352"/>
      <c r="K145" s="351" t="s">
        <v>788</v>
      </c>
      <c r="L145" s="351" t="s">
        <v>1092</v>
      </c>
      <c r="M145" s="350">
        <v>0</v>
      </c>
      <c r="N145" s="350">
        <v>5.625</v>
      </c>
      <c r="O145" s="350">
        <v>1</v>
      </c>
      <c r="P145" s="350">
        <f t="shared" si="3"/>
        <v>5.625</v>
      </c>
      <c r="Q145" s="350"/>
      <c r="R145" s="351"/>
      <c r="S145" s="351"/>
      <c r="T145" s="351"/>
    </row>
    <row r="146" spans="1:20" s="357" customFormat="1" ht="17" x14ac:dyDescent="0.2">
      <c r="A146" s="349" t="s">
        <v>1093</v>
      </c>
      <c r="B146" s="131"/>
      <c r="C146" s="131"/>
      <c r="D146" s="131"/>
      <c r="E146" s="350" t="s">
        <v>998</v>
      </c>
      <c r="F146" s="350" t="s">
        <v>778</v>
      </c>
      <c r="G146" s="350" t="s">
        <v>563</v>
      </c>
      <c r="H146" s="351" t="s">
        <v>805</v>
      </c>
      <c r="I146" s="351" t="s">
        <v>779</v>
      </c>
      <c r="J146" s="352"/>
      <c r="K146" s="351" t="s">
        <v>788</v>
      </c>
      <c r="L146" s="351" t="s">
        <v>1094</v>
      </c>
      <c r="M146" s="350">
        <v>0</v>
      </c>
      <c r="N146" s="350">
        <v>3.625</v>
      </c>
      <c r="O146" s="350">
        <v>1</v>
      </c>
      <c r="P146" s="350">
        <f t="shared" si="3"/>
        <v>3.625</v>
      </c>
      <c r="Q146" s="351"/>
      <c r="R146" s="351"/>
      <c r="S146" s="351"/>
      <c r="T146" s="351"/>
    </row>
    <row r="147" spans="1:20" ht="17" x14ac:dyDescent="0.2">
      <c r="A147" s="349" t="s">
        <v>1095</v>
      </c>
      <c r="B147" s="360"/>
      <c r="C147" s="360"/>
      <c r="E147" s="350" t="s">
        <v>998</v>
      </c>
      <c r="F147" s="350" t="s">
        <v>778</v>
      </c>
      <c r="G147" s="350" t="s">
        <v>563</v>
      </c>
      <c r="H147" s="351" t="s">
        <v>805</v>
      </c>
      <c r="I147" s="351" t="s">
        <v>779</v>
      </c>
      <c r="K147" s="351" t="s">
        <v>788</v>
      </c>
      <c r="L147" s="206" t="s">
        <v>1096</v>
      </c>
      <c r="M147" s="350">
        <v>0</v>
      </c>
      <c r="N147" s="350">
        <v>3.625</v>
      </c>
      <c r="O147" s="350">
        <v>1</v>
      </c>
      <c r="P147" s="350">
        <f t="shared" si="3"/>
        <v>3.625</v>
      </c>
    </row>
    <row r="148" spans="1:20" s="362" customFormat="1" ht="17" x14ac:dyDescent="0.2">
      <c r="A148" s="349" t="s">
        <v>1097</v>
      </c>
      <c r="B148" s="360"/>
      <c r="C148" s="360"/>
      <c r="D148" s="131"/>
      <c r="E148" s="350" t="s">
        <v>998</v>
      </c>
      <c r="F148" s="350" t="s">
        <v>778</v>
      </c>
      <c r="G148" s="350" t="s">
        <v>563</v>
      </c>
      <c r="H148" s="351" t="s">
        <v>805</v>
      </c>
      <c r="I148" s="351" t="s">
        <v>1007</v>
      </c>
      <c r="J148" s="352"/>
      <c r="K148" s="351" t="s">
        <v>788</v>
      </c>
      <c r="L148" s="386" t="s">
        <v>1098</v>
      </c>
      <c r="M148" s="350">
        <v>0</v>
      </c>
      <c r="N148" s="350">
        <v>3.625</v>
      </c>
      <c r="O148" s="350">
        <v>1</v>
      </c>
      <c r="P148" s="350">
        <f t="shared" si="3"/>
        <v>3.625</v>
      </c>
      <c r="Q148" s="351"/>
      <c r="R148" s="350"/>
      <c r="S148" s="351"/>
      <c r="T148" s="351"/>
    </row>
    <row r="149" spans="1:20" s="367" customFormat="1" ht="17" x14ac:dyDescent="0.2">
      <c r="A149" s="349" t="s">
        <v>1099</v>
      </c>
      <c r="B149" s="131"/>
      <c r="C149" s="131"/>
      <c r="D149" s="131"/>
      <c r="E149" s="350" t="s">
        <v>998</v>
      </c>
      <c r="F149" s="350" t="s">
        <v>778</v>
      </c>
      <c r="G149" s="350" t="s">
        <v>563</v>
      </c>
      <c r="H149" s="351" t="s">
        <v>817</v>
      </c>
      <c r="I149" s="351" t="s">
        <v>779</v>
      </c>
      <c r="J149" s="352" t="s">
        <v>849</v>
      </c>
      <c r="K149" s="351" t="s">
        <v>807</v>
      </c>
      <c r="L149" s="386" t="s">
        <v>1100</v>
      </c>
      <c r="M149" s="350">
        <v>0</v>
      </c>
      <c r="N149" s="350">
        <f>1+(5/8)</f>
        <v>1.625</v>
      </c>
      <c r="O149" s="350">
        <v>1</v>
      </c>
      <c r="P149" s="350">
        <f t="shared" si="3"/>
        <v>1.625</v>
      </c>
      <c r="Q149" s="351"/>
      <c r="R149" s="351"/>
      <c r="S149" s="351"/>
      <c r="T149" s="351"/>
    </row>
    <row r="150" spans="1:20" ht="17" x14ac:dyDescent="0.2">
      <c r="A150" s="349" t="s">
        <v>1101</v>
      </c>
      <c r="E150" s="350" t="s">
        <v>998</v>
      </c>
      <c r="F150" s="350" t="s">
        <v>778</v>
      </c>
      <c r="G150" s="350" t="s">
        <v>563</v>
      </c>
      <c r="H150" s="351" t="s">
        <v>817</v>
      </c>
      <c r="I150" s="351" t="s">
        <v>779</v>
      </c>
      <c r="K150" s="351" t="s">
        <v>807</v>
      </c>
      <c r="L150" s="386" t="s">
        <v>1102</v>
      </c>
      <c r="M150" s="350">
        <v>0</v>
      </c>
      <c r="N150" s="350">
        <v>1.375</v>
      </c>
      <c r="O150" s="350">
        <v>1</v>
      </c>
      <c r="P150" s="350">
        <f t="shared" si="3"/>
        <v>1.375</v>
      </c>
    </row>
    <row r="151" spans="1:20" s="367" customFormat="1" ht="17" x14ac:dyDescent="0.2">
      <c r="A151" s="349" t="s">
        <v>1103</v>
      </c>
      <c r="B151" s="131"/>
      <c r="C151" s="131"/>
      <c r="D151" s="131"/>
      <c r="E151" s="350" t="s">
        <v>998</v>
      </c>
      <c r="F151" s="350" t="s">
        <v>1010</v>
      </c>
      <c r="G151" s="350" t="s">
        <v>563</v>
      </c>
      <c r="H151" s="351" t="s">
        <v>817</v>
      </c>
      <c r="I151" s="351"/>
      <c r="J151" s="352"/>
      <c r="K151" s="351" t="s">
        <v>807</v>
      </c>
      <c r="L151" s="351" t="s">
        <v>1104</v>
      </c>
      <c r="M151" s="350">
        <v>1</v>
      </c>
      <c r="N151" s="350">
        <v>1.5</v>
      </c>
      <c r="O151" s="350">
        <v>1</v>
      </c>
      <c r="P151" s="350">
        <f t="shared" si="3"/>
        <v>17.5</v>
      </c>
      <c r="Q151" s="351"/>
    </row>
    <row r="152" spans="1:20" s="362" customFormat="1" ht="17" x14ac:dyDescent="0.2">
      <c r="A152" s="349" t="s">
        <v>1105</v>
      </c>
      <c r="B152" s="131"/>
      <c r="C152" s="131"/>
      <c r="D152" s="131"/>
      <c r="E152" s="350" t="s">
        <v>998</v>
      </c>
      <c r="F152" s="350" t="s">
        <v>1010</v>
      </c>
      <c r="G152" s="350" t="s">
        <v>563</v>
      </c>
      <c r="H152" s="351" t="s">
        <v>817</v>
      </c>
      <c r="I152" s="351"/>
      <c r="J152" s="352"/>
      <c r="K152" s="351" t="s">
        <v>807</v>
      </c>
      <c r="L152" s="351" t="s">
        <v>1106</v>
      </c>
      <c r="M152" s="350">
        <v>0</v>
      </c>
      <c r="N152" s="350">
        <v>15</v>
      </c>
      <c r="O152" s="350">
        <v>1</v>
      </c>
      <c r="P152" s="350">
        <f t="shared" si="3"/>
        <v>15</v>
      </c>
      <c r="Q152" s="351"/>
      <c r="R152" s="351"/>
      <c r="S152" s="351"/>
      <c r="T152" s="351"/>
    </row>
    <row r="153" spans="1:20" s="375" customFormat="1" ht="17" x14ac:dyDescent="0.2">
      <c r="A153" s="349" t="s">
        <v>1107</v>
      </c>
      <c r="B153" s="131"/>
      <c r="C153" s="131"/>
      <c r="D153" s="131"/>
      <c r="E153" s="350" t="s">
        <v>998</v>
      </c>
      <c r="F153" s="350" t="s">
        <v>1010</v>
      </c>
      <c r="G153" s="350" t="s">
        <v>563</v>
      </c>
      <c r="H153" s="351" t="s">
        <v>817</v>
      </c>
      <c r="I153" s="351" t="s">
        <v>779</v>
      </c>
      <c r="J153" s="352"/>
      <c r="K153" s="351" t="s">
        <v>807</v>
      </c>
      <c r="L153" s="386" t="s">
        <v>1108</v>
      </c>
      <c r="M153" s="350">
        <v>0</v>
      </c>
      <c r="N153" s="350">
        <v>14.625</v>
      </c>
      <c r="O153" s="350">
        <v>1</v>
      </c>
      <c r="P153" s="350">
        <f t="shared" si="3"/>
        <v>14.625</v>
      </c>
      <c r="Q153" s="351"/>
      <c r="R153" s="351"/>
      <c r="S153" s="351"/>
      <c r="T153" s="351"/>
    </row>
    <row r="154" spans="1:20" s="362" customFormat="1" ht="17" x14ac:dyDescent="0.2">
      <c r="A154" s="349" t="s">
        <v>816</v>
      </c>
      <c r="B154" s="131"/>
      <c r="C154" s="131"/>
      <c r="D154" s="131"/>
      <c r="E154" s="350" t="s">
        <v>998</v>
      </c>
      <c r="F154" s="350" t="s">
        <v>778</v>
      </c>
      <c r="G154" s="350" t="s">
        <v>563</v>
      </c>
      <c r="H154" s="351" t="s">
        <v>817</v>
      </c>
      <c r="I154" s="351" t="s">
        <v>779</v>
      </c>
      <c r="J154" s="352"/>
      <c r="K154" s="351" t="s">
        <v>807</v>
      </c>
      <c r="L154" s="351" t="s">
        <v>1109</v>
      </c>
      <c r="M154" s="350">
        <v>0</v>
      </c>
      <c r="N154" s="350">
        <v>6.7</v>
      </c>
      <c r="O154" s="350">
        <v>1</v>
      </c>
      <c r="P154" s="350">
        <f t="shared" si="3"/>
        <v>6.7</v>
      </c>
      <c r="Q154" s="351"/>
      <c r="R154" s="351"/>
      <c r="S154" s="351"/>
      <c r="T154" s="351"/>
    </row>
    <row r="155" spans="1:20" s="375" customFormat="1" ht="17" x14ac:dyDescent="0.2">
      <c r="A155" s="349" t="s">
        <v>1110</v>
      </c>
      <c r="B155" s="131"/>
      <c r="C155" s="131"/>
      <c r="D155" s="131"/>
      <c r="E155" s="350" t="s">
        <v>998</v>
      </c>
      <c r="F155" s="350" t="s">
        <v>778</v>
      </c>
      <c r="G155" s="350" t="s">
        <v>563</v>
      </c>
      <c r="H155" s="351" t="s">
        <v>817</v>
      </c>
      <c r="I155" s="351" t="s">
        <v>794</v>
      </c>
      <c r="J155" s="352"/>
      <c r="K155" s="351"/>
      <c r="L155" s="349" t="s">
        <v>1111</v>
      </c>
      <c r="M155" s="350">
        <v>0</v>
      </c>
      <c r="N155" s="350">
        <v>1</v>
      </c>
      <c r="O155" s="350">
        <v>1</v>
      </c>
      <c r="P155" s="350">
        <f t="shared" si="3"/>
        <v>1</v>
      </c>
      <c r="Q155" s="351"/>
      <c r="R155" s="351"/>
      <c r="S155" s="351"/>
      <c r="T155" s="351"/>
    </row>
    <row r="156" spans="1:20" ht="17" x14ac:dyDescent="0.2">
      <c r="A156" s="349" t="s">
        <v>1112</v>
      </c>
      <c r="E156" s="350" t="s">
        <v>998</v>
      </c>
      <c r="F156" s="350" t="s">
        <v>778</v>
      </c>
      <c r="G156" s="350" t="s">
        <v>563</v>
      </c>
      <c r="H156" s="351" t="s">
        <v>817</v>
      </c>
      <c r="I156" s="351" t="s">
        <v>779</v>
      </c>
      <c r="L156" s="351" t="s">
        <v>1113</v>
      </c>
      <c r="M156" s="350">
        <v>0</v>
      </c>
      <c r="N156" s="350">
        <v>4.25</v>
      </c>
      <c r="O156" s="350">
        <v>1</v>
      </c>
      <c r="P156" s="350">
        <f t="shared" si="3"/>
        <v>4.25</v>
      </c>
    </row>
    <row r="157" spans="1:20" s="362" customFormat="1" ht="17" x14ac:dyDescent="0.2">
      <c r="A157" s="349" t="s">
        <v>1114</v>
      </c>
      <c r="B157" s="131"/>
      <c r="C157" s="131"/>
      <c r="D157" s="131"/>
      <c r="E157" s="350" t="s">
        <v>998</v>
      </c>
      <c r="F157" s="350" t="s">
        <v>778</v>
      </c>
      <c r="G157" s="350" t="s">
        <v>782</v>
      </c>
      <c r="H157" s="351" t="s">
        <v>783</v>
      </c>
      <c r="I157" s="351" t="s">
        <v>779</v>
      </c>
      <c r="J157" s="352" t="s">
        <v>791</v>
      </c>
      <c r="K157" s="351" t="s">
        <v>788</v>
      </c>
      <c r="L157" s="394" t="s">
        <v>1115</v>
      </c>
      <c r="M157" s="350">
        <v>0</v>
      </c>
      <c r="N157" s="350">
        <f>5+5/8</f>
        <v>5.625</v>
      </c>
      <c r="O157" s="350">
        <v>1</v>
      </c>
      <c r="P157" s="350">
        <f t="shared" si="3"/>
        <v>5.625</v>
      </c>
      <c r="Q157" s="351"/>
      <c r="R157" s="367"/>
      <c r="S157" s="367"/>
      <c r="T157" s="367"/>
    </row>
    <row r="158" spans="1:20" s="369" customFormat="1" ht="17" x14ac:dyDescent="0.2">
      <c r="A158" s="387" t="s">
        <v>1116</v>
      </c>
      <c r="B158" s="388"/>
      <c r="C158" s="388" t="s">
        <v>776</v>
      </c>
      <c r="D158" s="388"/>
      <c r="E158" s="384" t="s">
        <v>998</v>
      </c>
      <c r="F158" s="384" t="s">
        <v>778</v>
      </c>
      <c r="G158" s="384" t="s">
        <v>782</v>
      </c>
      <c r="H158" s="369" t="s">
        <v>817</v>
      </c>
      <c r="I158" s="369" t="s">
        <v>779</v>
      </c>
      <c r="J158" s="389" t="s">
        <v>806</v>
      </c>
      <c r="K158" s="369" t="s">
        <v>807</v>
      </c>
      <c r="L158" s="395" t="s">
        <v>1117</v>
      </c>
      <c r="M158" s="384">
        <v>0</v>
      </c>
      <c r="N158" s="384">
        <f>1+(3/8)</f>
        <v>1.375</v>
      </c>
      <c r="O158" s="384">
        <v>1</v>
      </c>
      <c r="P158" s="384">
        <f t="shared" si="3"/>
        <v>1.375</v>
      </c>
    </row>
    <row r="159" spans="1:20" s="362" customFormat="1" ht="17" x14ac:dyDescent="0.2">
      <c r="A159" s="349" t="s">
        <v>816</v>
      </c>
      <c r="B159" s="131"/>
      <c r="C159" s="131"/>
      <c r="D159" s="131"/>
      <c r="E159" s="350" t="s">
        <v>998</v>
      </c>
      <c r="F159" s="350" t="s">
        <v>778</v>
      </c>
      <c r="G159" s="350" t="s">
        <v>782</v>
      </c>
      <c r="H159" s="351" t="s">
        <v>817</v>
      </c>
      <c r="I159" s="351" t="s">
        <v>779</v>
      </c>
      <c r="J159" s="352"/>
      <c r="K159" s="351" t="s">
        <v>807</v>
      </c>
      <c r="L159" s="386" t="s">
        <v>1118</v>
      </c>
      <c r="M159" s="350">
        <v>0</v>
      </c>
      <c r="N159" s="350">
        <v>9.5</v>
      </c>
      <c r="O159" s="350">
        <v>1</v>
      </c>
      <c r="P159" s="350">
        <f t="shared" si="3"/>
        <v>9.5</v>
      </c>
      <c r="Q159" s="351"/>
      <c r="R159" s="367"/>
      <c r="S159" s="367"/>
      <c r="T159" s="367"/>
    </row>
    <row r="160" spans="1:20" s="362" customFormat="1" ht="17" x14ac:dyDescent="0.2">
      <c r="A160" s="349" t="s">
        <v>1119</v>
      </c>
      <c r="B160" s="131"/>
      <c r="C160" s="131"/>
      <c r="D160" s="131"/>
      <c r="E160" s="350" t="s">
        <v>998</v>
      </c>
      <c r="F160" s="350" t="s">
        <v>778</v>
      </c>
      <c r="G160" s="350" t="s">
        <v>822</v>
      </c>
      <c r="H160" s="351" t="s">
        <v>805</v>
      </c>
      <c r="I160" s="351" t="s">
        <v>779</v>
      </c>
      <c r="J160" s="352"/>
      <c r="K160" s="351" t="s">
        <v>826</v>
      </c>
      <c r="L160" s="386" t="s">
        <v>1120</v>
      </c>
      <c r="M160" s="350">
        <v>0</v>
      </c>
      <c r="N160" s="350">
        <v>2.25</v>
      </c>
      <c r="O160" s="350">
        <v>1</v>
      </c>
      <c r="P160" s="350">
        <f t="shared" si="3"/>
        <v>2.25</v>
      </c>
      <c r="Q160" s="351"/>
      <c r="R160" s="351"/>
      <c r="S160" s="351"/>
      <c r="T160" s="351"/>
    </row>
    <row r="161" spans="1:20" s="357" customFormat="1" ht="17" x14ac:dyDescent="0.2">
      <c r="A161" s="349" t="s">
        <v>1121</v>
      </c>
      <c r="B161" s="131"/>
      <c r="C161" s="131"/>
      <c r="D161" s="131"/>
      <c r="E161" s="350" t="s">
        <v>998</v>
      </c>
      <c r="F161" s="350" t="s">
        <v>778</v>
      </c>
      <c r="G161" s="350" t="s">
        <v>822</v>
      </c>
      <c r="H161" s="351" t="s">
        <v>805</v>
      </c>
      <c r="I161" s="351" t="s">
        <v>779</v>
      </c>
      <c r="J161" s="352"/>
      <c r="K161" s="351" t="s">
        <v>826</v>
      </c>
      <c r="L161" s="351" t="s">
        <v>1122</v>
      </c>
      <c r="M161" s="350">
        <v>0</v>
      </c>
      <c r="N161" s="350">
        <f>11+(7/8)</f>
        <v>11.875</v>
      </c>
      <c r="O161" s="350">
        <v>1</v>
      </c>
      <c r="P161" s="350">
        <f t="shared" si="3"/>
        <v>11.875</v>
      </c>
      <c r="Q161" s="351"/>
      <c r="R161" s="351"/>
      <c r="S161" s="351"/>
      <c r="T161" s="351"/>
    </row>
    <row r="162" spans="1:20" s="362" customFormat="1" ht="17" x14ac:dyDescent="0.2">
      <c r="A162" s="349" t="s">
        <v>1123</v>
      </c>
      <c r="B162" s="131"/>
      <c r="C162" s="131"/>
      <c r="D162" s="131"/>
      <c r="E162" s="350" t="s">
        <v>998</v>
      </c>
      <c r="F162" s="350" t="s">
        <v>778</v>
      </c>
      <c r="G162" s="350" t="s">
        <v>822</v>
      </c>
      <c r="H162" s="351" t="s">
        <v>805</v>
      </c>
      <c r="I162" s="351" t="s">
        <v>779</v>
      </c>
      <c r="J162" s="352"/>
      <c r="K162" s="351" t="s">
        <v>826</v>
      </c>
      <c r="L162" s="351" t="s">
        <v>1124</v>
      </c>
      <c r="M162" s="350">
        <v>0</v>
      </c>
      <c r="N162" s="350">
        <v>2.5</v>
      </c>
      <c r="O162" s="350">
        <v>1</v>
      </c>
      <c r="P162" s="350">
        <f t="shared" si="3"/>
        <v>2.5</v>
      </c>
      <c r="Q162" s="351"/>
      <c r="R162" s="351"/>
      <c r="S162" s="351"/>
      <c r="T162" s="351"/>
    </row>
    <row r="163" spans="1:20" s="357" customFormat="1" ht="17" x14ac:dyDescent="0.2">
      <c r="A163" s="349" t="s">
        <v>1021</v>
      </c>
      <c r="B163" s="131"/>
      <c r="C163" s="131"/>
      <c r="D163" s="131"/>
      <c r="E163" s="350" t="s">
        <v>998</v>
      </c>
      <c r="F163" s="350" t="s">
        <v>778</v>
      </c>
      <c r="G163" s="350" t="s">
        <v>822</v>
      </c>
      <c r="H163" s="351" t="s">
        <v>817</v>
      </c>
      <c r="I163" s="351" t="s">
        <v>779</v>
      </c>
      <c r="J163" s="352"/>
      <c r="K163" s="351" t="s">
        <v>826</v>
      </c>
      <c r="L163" s="351" t="s">
        <v>1125</v>
      </c>
      <c r="M163" s="350">
        <v>0</v>
      </c>
      <c r="N163" s="350">
        <v>3.375</v>
      </c>
      <c r="O163" s="350">
        <v>1</v>
      </c>
      <c r="P163" s="350">
        <f t="shared" si="3"/>
        <v>3.375</v>
      </c>
      <c r="Q163" s="351"/>
      <c r="R163" s="351"/>
      <c r="S163" s="351"/>
      <c r="T163" s="351"/>
    </row>
    <row r="164" spans="1:20" s="362" customFormat="1" ht="17" x14ac:dyDescent="0.2">
      <c r="A164" s="349" t="s">
        <v>1126</v>
      </c>
      <c r="B164" s="131"/>
      <c r="C164" s="131"/>
      <c r="D164" s="131"/>
      <c r="E164" s="350" t="s">
        <v>998</v>
      </c>
      <c r="F164" s="350" t="s">
        <v>778</v>
      </c>
      <c r="G164" s="350" t="s">
        <v>1027</v>
      </c>
      <c r="H164" s="351"/>
      <c r="I164" s="351"/>
      <c r="J164" s="352"/>
      <c r="K164" s="351" t="s">
        <v>807</v>
      </c>
      <c r="L164" s="351" t="s">
        <v>880</v>
      </c>
      <c r="M164" s="350">
        <v>7</v>
      </c>
      <c r="N164" s="350">
        <f>13+(5/8)</f>
        <v>13.625</v>
      </c>
      <c r="O164" s="350">
        <v>1</v>
      </c>
      <c r="P164" s="350">
        <f>(O164*((M164*16)+N164))-P192</f>
        <v>124.5</v>
      </c>
      <c r="Q164" s="351"/>
      <c r="R164" s="351"/>
      <c r="S164" s="351"/>
      <c r="T164" s="351"/>
    </row>
    <row r="165" spans="1:20" s="367" customFormat="1" ht="17" x14ac:dyDescent="0.2">
      <c r="A165" s="349" t="s">
        <v>1127</v>
      </c>
      <c r="B165" s="131"/>
      <c r="C165" s="131"/>
      <c r="D165" s="131"/>
      <c r="E165" s="350" t="s">
        <v>998</v>
      </c>
      <c r="F165" s="350" t="s">
        <v>778</v>
      </c>
      <c r="G165" s="350" t="s">
        <v>1027</v>
      </c>
      <c r="H165" s="351"/>
      <c r="I165" s="351"/>
      <c r="J165" s="352"/>
      <c r="K165" s="351"/>
      <c r="L165" s="351" t="s">
        <v>1128</v>
      </c>
      <c r="M165" s="350">
        <v>2</v>
      </c>
      <c r="N165" s="350">
        <v>2.125</v>
      </c>
      <c r="O165" s="350">
        <v>1</v>
      </c>
      <c r="P165" s="350">
        <f t="shared" ref="P165:P227" si="4">O165*((M165*16)+N165)</f>
        <v>34.125</v>
      </c>
      <c r="Q165" s="351"/>
      <c r="R165" s="351"/>
      <c r="S165" s="351"/>
      <c r="T165" s="351"/>
    </row>
    <row r="166" spans="1:20" ht="17" x14ac:dyDescent="0.2">
      <c r="A166" s="349" t="s">
        <v>1129</v>
      </c>
      <c r="E166" s="350" t="s">
        <v>998</v>
      </c>
      <c r="F166" s="350" t="s">
        <v>810</v>
      </c>
      <c r="G166" s="350" t="s">
        <v>845</v>
      </c>
      <c r="J166" s="352" t="s">
        <v>852</v>
      </c>
      <c r="K166" s="351" t="s">
        <v>823</v>
      </c>
      <c r="L166" s="351" t="s">
        <v>1130</v>
      </c>
      <c r="M166" s="350">
        <v>0</v>
      </c>
      <c r="N166" s="350">
        <v>2</v>
      </c>
      <c r="O166" s="350">
        <v>1</v>
      </c>
      <c r="P166" s="350">
        <f t="shared" si="4"/>
        <v>2</v>
      </c>
    </row>
    <row r="167" spans="1:20" s="367" customFormat="1" ht="17" x14ac:dyDescent="0.2">
      <c r="A167" s="349" t="s">
        <v>1131</v>
      </c>
      <c r="B167" s="131"/>
      <c r="C167" s="131"/>
      <c r="D167" s="131"/>
      <c r="E167" s="350" t="s">
        <v>998</v>
      </c>
      <c r="F167" s="350" t="s">
        <v>778</v>
      </c>
      <c r="G167" s="350" t="s">
        <v>845</v>
      </c>
      <c r="H167" s="351"/>
      <c r="I167" s="351"/>
      <c r="J167" s="352" t="s">
        <v>852</v>
      </c>
      <c r="K167" s="351" t="s">
        <v>823</v>
      </c>
      <c r="L167" s="351" t="s">
        <v>1132</v>
      </c>
      <c r="M167" s="350">
        <v>0</v>
      </c>
      <c r="N167" s="350">
        <v>0.5</v>
      </c>
      <c r="O167" s="350">
        <v>1</v>
      </c>
      <c r="P167" s="350">
        <f t="shared" si="4"/>
        <v>0.5</v>
      </c>
      <c r="Q167" s="351"/>
      <c r="R167" s="351"/>
      <c r="S167" s="351"/>
      <c r="T167" s="351"/>
    </row>
    <row r="168" spans="1:20" s="367" customFormat="1" ht="17" x14ac:dyDescent="0.2">
      <c r="A168" s="349" t="s">
        <v>1133</v>
      </c>
      <c r="B168" s="131"/>
      <c r="C168" s="131"/>
      <c r="D168" s="131"/>
      <c r="E168" s="350" t="s">
        <v>998</v>
      </c>
      <c r="F168" s="350" t="s">
        <v>778</v>
      </c>
      <c r="G168" s="350" t="s">
        <v>845</v>
      </c>
      <c r="H168" s="351"/>
      <c r="I168" s="351"/>
      <c r="J168" s="352" t="s">
        <v>852</v>
      </c>
      <c r="K168" s="351" t="s">
        <v>823</v>
      </c>
      <c r="L168" s="386" t="s">
        <v>1134</v>
      </c>
      <c r="M168" s="350">
        <v>0</v>
      </c>
      <c r="N168" s="350">
        <f>5+(3/8)</f>
        <v>5.375</v>
      </c>
      <c r="O168" s="350">
        <v>1</v>
      </c>
      <c r="P168" s="350">
        <f t="shared" si="4"/>
        <v>5.375</v>
      </c>
      <c r="Q168" s="351"/>
      <c r="R168" s="351"/>
      <c r="S168" s="351"/>
      <c r="T168" s="351"/>
    </row>
    <row r="169" spans="1:20" ht="17" x14ac:dyDescent="0.2">
      <c r="A169" s="349" t="s">
        <v>1135</v>
      </c>
      <c r="E169" s="350" t="s">
        <v>998</v>
      </c>
      <c r="F169" s="350" t="s">
        <v>778</v>
      </c>
      <c r="G169" s="350" t="s">
        <v>845</v>
      </c>
      <c r="K169" s="351" t="s">
        <v>823</v>
      </c>
      <c r="L169" s="351" t="s">
        <v>1136</v>
      </c>
      <c r="M169" s="350">
        <v>0</v>
      </c>
      <c r="N169" s="350">
        <v>3.625</v>
      </c>
      <c r="O169" s="350">
        <v>1</v>
      </c>
      <c r="P169" s="350">
        <f t="shared" si="4"/>
        <v>3.625</v>
      </c>
    </row>
    <row r="170" spans="1:20" ht="17" x14ac:dyDescent="0.2">
      <c r="A170" s="349" t="s">
        <v>1137</v>
      </c>
      <c r="E170" s="350" t="s">
        <v>998</v>
      </c>
      <c r="F170" s="350" t="s">
        <v>778</v>
      </c>
      <c r="G170" s="350" t="s">
        <v>862</v>
      </c>
      <c r="H170" s="351" t="s">
        <v>817</v>
      </c>
      <c r="K170" s="351" t="s">
        <v>826</v>
      </c>
      <c r="L170" s="386" t="s">
        <v>1138</v>
      </c>
      <c r="M170" s="350">
        <v>2</v>
      </c>
      <c r="N170" s="350">
        <v>8.875</v>
      </c>
      <c r="O170" s="350">
        <v>1</v>
      </c>
      <c r="P170" s="350">
        <f t="shared" si="4"/>
        <v>40.875</v>
      </c>
    </row>
    <row r="171" spans="1:20" ht="17" x14ac:dyDescent="0.2">
      <c r="A171" s="349" t="s">
        <v>1139</v>
      </c>
      <c r="E171" s="350" t="s">
        <v>998</v>
      </c>
      <c r="F171" s="350" t="s">
        <v>870</v>
      </c>
      <c r="G171" s="350" t="s">
        <v>862</v>
      </c>
      <c r="I171" s="351" t="s">
        <v>1030</v>
      </c>
      <c r="K171" s="351" t="s">
        <v>868</v>
      </c>
      <c r="L171" s="351" t="s">
        <v>1140</v>
      </c>
      <c r="M171" s="350">
        <v>0</v>
      </c>
      <c r="N171" s="350">
        <v>1.25</v>
      </c>
      <c r="O171" s="350">
        <v>1</v>
      </c>
      <c r="P171" s="350">
        <f t="shared" si="4"/>
        <v>1.25</v>
      </c>
      <c r="Q171" s="350"/>
    </row>
    <row r="172" spans="1:20" ht="17" x14ac:dyDescent="0.2">
      <c r="A172" s="349" t="s">
        <v>1141</v>
      </c>
      <c r="E172" s="350" t="s">
        <v>998</v>
      </c>
      <c r="F172" s="350" t="s">
        <v>778</v>
      </c>
      <c r="G172" s="350" t="s">
        <v>867</v>
      </c>
      <c r="J172" s="352" t="s">
        <v>924</v>
      </c>
      <c r="K172" s="351" t="s">
        <v>807</v>
      </c>
      <c r="L172" s="349" t="s">
        <v>1141</v>
      </c>
      <c r="M172" s="350">
        <v>0</v>
      </c>
      <c r="N172" s="350">
        <f>3/8</f>
        <v>0.375</v>
      </c>
      <c r="O172" s="350">
        <v>1</v>
      </c>
      <c r="P172" s="350">
        <f t="shared" si="4"/>
        <v>0.375</v>
      </c>
    </row>
    <row r="173" spans="1:20" ht="17" x14ac:dyDescent="0.2">
      <c r="A173" s="349" t="s">
        <v>1142</v>
      </c>
      <c r="E173" s="350" t="s">
        <v>998</v>
      </c>
      <c r="F173" s="350" t="s">
        <v>778</v>
      </c>
      <c r="G173" s="350" t="s">
        <v>867</v>
      </c>
      <c r="K173" s="351" t="s">
        <v>807</v>
      </c>
      <c r="L173" s="351" t="s">
        <v>1142</v>
      </c>
      <c r="M173" s="350">
        <v>0</v>
      </c>
      <c r="N173" s="350">
        <v>2.375</v>
      </c>
      <c r="O173" s="350">
        <v>1</v>
      </c>
      <c r="P173" s="350">
        <f t="shared" si="4"/>
        <v>2.375</v>
      </c>
      <c r="Q173" s="350"/>
      <c r="R173" s="350"/>
    </row>
    <row r="174" spans="1:20" ht="17" x14ac:dyDescent="0.2">
      <c r="A174" s="349" t="s">
        <v>1143</v>
      </c>
      <c r="E174" s="350" t="s">
        <v>998</v>
      </c>
      <c r="F174" s="350" t="s">
        <v>778</v>
      </c>
      <c r="G174" s="350" t="s">
        <v>867</v>
      </c>
      <c r="K174" s="351" t="s">
        <v>823</v>
      </c>
      <c r="L174" s="351" t="s">
        <v>1144</v>
      </c>
      <c r="M174" s="350">
        <v>0</v>
      </c>
      <c r="N174" s="350">
        <v>2.25</v>
      </c>
      <c r="O174" s="350">
        <v>1</v>
      </c>
      <c r="P174" s="350">
        <f t="shared" si="4"/>
        <v>2.25</v>
      </c>
    </row>
    <row r="175" spans="1:20" ht="17" x14ac:dyDescent="0.2">
      <c r="A175" s="349" t="s">
        <v>1145</v>
      </c>
      <c r="E175" s="350" t="s">
        <v>998</v>
      </c>
      <c r="F175" s="350" t="s">
        <v>778</v>
      </c>
      <c r="G175" s="350" t="s">
        <v>867</v>
      </c>
      <c r="K175" s="351" t="s">
        <v>823</v>
      </c>
      <c r="L175" s="351" t="s">
        <v>1146</v>
      </c>
      <c r="M175" s="350">
        <v>0</v>
      </c>
      <c r="N175" s="350">
        <v>1.625</v>
      </c>
      <c r="O175" s="350">
        <v>1</v>
      </c>
      <c r="P175" s="350">
        <f t="shared" si="4"/>
        <v>1.625</v>
      </c>
    </row>
    <row r="176" spans="1:20" ht="17" x14ac:dyDescent="0.2">
      <c r="A176" s="349" t="s">
        <v>885</v>
      </c>
      <c r="E176" s="350" t="s">
        <v>998</v>
      </c>
      <c r="F176" s="350" t="s">
        <v>778</v>
      </c>
      <c r="G176" s="350" t="s">
        <v>562</v>
      </c>
      <c r="K176" s="351" t="s">
        <v>784</v>
      </c>
      <c r="L176" s="351" t="s">
        <v>1147</v>
      </c>
      <c r="M176" s="350">
        <v>0</v>
      </c>
      <c r="N176" s="350">
        <v>4.5</v>
      </c>
      <c r="O176" s="350">
        <v>1</v>
      </c>
      <c r="P176" s="350">
        <f t="shared" si="4"/>
        <v>4.5</v>
      </c>
    </row>
    <row r="177" spans="1:20" ht="17" x14ac:dyDescent="0.2">
      <c r="A177" s="349" t="s">
        <v>1148</v>
      </c>
      <c r="E177" s="350" t="s">
        <v>998</v>
      </c>
      <c r="F177" s="350" t="s">
        <v>870</v>
      </c>
      <c r="G177" s="350" t="s">
        <v>562</v>
      </c>
      <c r="K177" s="351" t="s">
        <v>784</v>
      </c>
      <c r="L177" s="351" t="s">
        <v>1149</v>
      </c>
      <c r="M177" s="350">
        <v>0</v>
      </c>
      <c r="N177" s="350">
        <v>8</v>
      </c>
      <c r="O177" s="350">
        <v>1</v>
      </c>
      <c r="P177" s="350">
        <f t="shared" si="4"/>
        <v>8</v>
      </c>
    </row>
    <row r="178" spans="1:20" s="367" customFormat="1" ht="17" x14ac:dyDescent="0.2">
      <c r="A178" s="349" t="s">
        <v>1150</v>
      </c>
      <c r="B178" s="131"/>
      <c r="C178" s="131"/>
      <c r="D178" s="131"/>
      <c r="E178" s="350" t="s">
        <v>998</v>
      </c>
      <c r="F178" s="350" t="s">
        <v>778</v>
      </c>
      <c r="G178" s="350" t="s">
        <v>562</v>
      </c>
      <c r="H178" s="351"/>
      <c r="I178" s="351"/>
      <c r="J178" s="352" t="s">
        <v>1075</v>
      </c>
      <c r="K178" s="351" t="s">
        <v>807</v>
      </c>
      <c r="L178" s="351" t="s">
        <v>1150</v>
      </c>
      <c r="M178" s="350">
        <v>0</v>
      </c>
      <c r="N178" s="350">
        <v>2.75</v>
      </c>
      <c r="O178" s="350">
        <v>1</v>
      </c>
      <c r="P178" s="350">
        <f t="shared" si="4"/>
        <v>2.75</v>
      </c>
      <c r="Q178" s="351"/>
      <c r="R178" s="351"/>
      <c r="S178" s="351"/>
      <c r="T178" s="351"/>
    </row>
    <row r="179" spans="1:20" s="367" customFormat="1" ht="17" x14ac:dyDescent="0.2">
      <c r="A179" s="349" t="s">
        <v>1151</v>
      </c>
      <c r="B179" s="131"/>
      <c r="C179" s="131"/>
      <c r="D179" s="131"/>
      <c r="E179" s="350" t="s">
        <v>998</v>
      </c>
      <c r="F179" s="350" t="s">
        <v>870</v>
      </c>
      <c r="G179" s="350" t="s">
        <v>562</v>
      </c>
      <c r="H179" s="351"/>
      <c r="I179" s="351"/>
      <c r="J179" s="352"/>
      <c r="K179" s="351" t="s">
        <v>807</v>
      </c>
      <c r="L179" s="386" t="s">
        <v>1152</v>
      </c>
      <c r="M179" s="350">
        <v>0</v>
      </c>
      <c r="N179" s="350">
        <v>9.25</v>
      </c>
      <c r="O179" s="350">
        <v>1</v>
      </c>
      <c r="P179" s="350">
        <f t="shared" si="4"/>
        <v>9.25</v>
      </c>
      <c r="Q179" s="350"/>
      <c r="R179" s="351"/>
      <c r="S179" s="351"/>
      <c r="T179" s="351"/>
    </row>
    <row r="180" spans="1:20" s="367" customFormat="1" ht="17" x14ac:dyDescent="0.2">
      <c r="A180" s="349" t="s">
        <v>896</v>
      </c>
      <c r="B180" s="131"/>
      <c r="C180" s="131"/>
      <c r="D180" s="131"/>
      <c r="E180" s="350" t="s">
        <v>998</v>
      </c>
      <c r="F180" s="350" t="s">
        <v>870</v>
      </c>
      <c r="G180" s="350" t="s">
        <v>562</v>
      </c>
      <c r="H180" s="351"/>
      <c r="I180" s="351"/>
      <c r="J180" s="352"/>
      <c r="K180" s="351" t="s">
        <v>807</v>
      </c>
      <c r="L180" s="386" t="s">
        <v>1153</v>
      </c>
      <c r="M180" s="350">
        <v>2</v>
      </c>
      <c r="N180" s="350">
        <v>9.125</v>
      </c>
      <c r="O180" s="350">
        <v>1</v>
      </c>
      <c r="P180" s="350">
        <f t="shared" si="4"/>
        <v>41.125</v>
      </c>
      <c r="Q180" s="350"/>
      <c r="R180" s="350"/>
      <c r="S180" s="351"/>
      <c r="T180" s="351"/>
    </row>
    <row r="181" spans="1:20" ht="17" x14ac:dyDescent="0.2">
      <c r="A181" s="349" t="s">
        <v>1154</v>
      </c>
      <c r="E181" s="350" t="s">
        <v>998</v>
      </c>
      <c r="F181" s="350" t="s">
        <v>778</v>
      </c>
      <c r="G181" s="350" t="s">
        <v>562</v>
      </c>
      <c r="K181" s="351" t="s">
        <v>807</v>
      </c>
      <c r="L181" s="351" t="s">
        <v>1155</v>
      </c>
      <c r="M181" s="350">
        <v>0</v>
      </c>
      <c r="N181" s="350">
        <f>1+7/8</f>
        <v>1.875</v>
      </c>
      <c r="O181" s="350">
        <v>1</v>
      </c>
      <c r="P181" s="350">
        <f t="shared" si="4"/>
        <v>1.875</v>
      </c>
      <c r="Q181" s="350"/>
      <c r="R181" s="350"/>
    </row>
    <row r="182" spans="1:20" ht="17" x14ac:dyDescent="0.2">
      <c r="A182" s="349" t="s">
        <v>1156</v>
      </c>
      <c r="E182" s="350" t="s">
        <v>998</v>
      </c>
      <c r="F182" s="350" t="s">
        <v>778</v>
      </c>
      <c r="G182" s="350" t="s">
        <v>562</v>
      </c>
      <c r="K182" s="351" t="s">
        <v>807</v>
      </c>
      <c r="L182" s="351" t="s">
        <v>1157</v>
      </c>
      <c r="M182" s="350">
        <v>0</v>
      </c>
      <c r="N182" s="350">
        <f>1+1/8</f>
        <v>1.125</v>
      </c>
      <c r="O182" s="350">
        <v>1</v>
      </c>
      <c r="P182" s="350">
        <f t="shared" si="4"/>
        <v>1.125</v>
      </c>
    </row>
    <row r="183" spans="1:20" ht="17" x14ac:dyDescent="0.2">
      <c r="A183" s="349" t="s">
        <v>1158</v>
      </c>
      <c r="E183" s="350" t="s">
        <v>998</v>
      </c>
      <c r="F183" s="350" t="s">
        <v>1010</v>
      </c>
      <c r="G183" s="350" t="s">
        <v>562</v>
      </c>
      <c r="K183" s="351" t="s">
        <v>807</v>
      </c>
      <c r="L183" s="351" t="s">
        <v>1159</v>
      </c>
      <c r="M183" s="350">
        <v>0</v>
      </c>
      <c r="N183" s="350">
        <v>4.75</v>
      </c>
      <c r="O183" s="350">
        <v>1</v>
      </c>
      <c r="P183" s="350">
        <f t="shared" si="4"/>
        <v>4.75</v>
      </c>
      <c r="Q183" s="350"/>
      <c r="R183" s="350"/>
    </row>
    <row r="184" spans="1:20" ht="17" x14ac:dyDescent="0.2">
      <c r="A184" s="349" t="s">
        <v>1160</v>
      </c>
      <c r="E184" s="350" t="s">
        <v>998</v>
      </c>
      <c r="F184" s="350" t="s">
        <v>1010</v>
      </c>
      <c r="G184" s="350" t="s">
        <v>562</v>
      </c>
      <c r="K184" s="351" t="s">
        <v>1064</v>
      </c>
      <c r="L184" s="351" t="s">
        <v>1161</v>
      </c>
      <c r="M184" s="350">
        <v>0</v>
      </c>
      <c r="N184" s="350">
        <v>1.625</v>
      </c>
      <c r="O184" s="350">
        <v>1</v>
      </c>
      <c r="P184" s="350">
        <f t="shared" si="4"/>
        <v>1.625</v>
      </c>
    </row>
    <row r="185" spans="1:20" ht="17" x14ac:dyDescent="0.2">
      <c r="A185" s="349" t="s">
        <v>1162</v>
      </c>
      <c r="E185" s="350" t="s">
        <v>998</v>
      </c>
      <c r="F185" s="350" t="s">
        <v>778</v>
      </c>
      <c r="G185" s="350" t="s">
        <v>562</v>
      </c>
      <c r="K185" s="351" t="s">
        <v>1064</v>
      </c>
      <c r="L185" s="351" t="s">
        <v>1163</v>
      </c>
      <c r="M185" s="350">
        <v>0</v>
      </c>
      <c r="N185" s="350">
        <v>4.5</v>
      </c>
      <c r="O185" s="350">
        <v>1</v>
      </c>
      <c r="P185" s="350">
        <f t="shared" si="4"/>
        <v>4.5</v>
      </c>
    </row>
    <row r="186" spans="1:20" ht="17" x14ac:dyDescent="0.2">
      <c r="A186" s="349" t="s">
        <v>1164</v>
      </c>
      <c r="E186" s="350" t="s">
        <v>998</v>
      </c>
      <c r="F186" s="350" t="s">
        <v>778</v>
      </c>
      <c r="G186" s="350" t="s">
        <v>562</v>
      </c>
      <c r="K186" s="351" t="s">
        <v>985</v>
      </c>
      <c r="L186" s="349" t="s">
        <v>1165</v>
      </c>
      <c r="M186" s="350">
        <v>0</v>
      </c>
      <c r="N186" s="350">
        <v>4.875</v>
      </c>
      <c r="O186" s="350">
        <v>1</v>
      </c>
      <c r="P186" s="350">
        <f t="shared" si="4"/>
        <v>4.875</v>
      </c>
    </row>
    <row r="187" spans="1:20" ht="17" x14ac:dyDescent="0.2">
      <c r="A187" s="349" t="s">
        <v>1166</v>
      </c>
      <c r="E187" s="350" t="s">
        <v>998</v>
      </c>
      <c r="F187" s="350" t="s">
        <v>778</v>
      </c>
      <c r="G187" s="350" t="s">
        <v>562</v>
      </c>
      <c r="L187" s="351" t="s">
        <v>1167</v>
      </c>
      <c r="M187" s="350">
        <v>0</v>
      </c>
      <c r="N187" s="350">
        <v>1.5</v>
      </c>
      <c r="O187" s="350">
        <v>1</v>
      </c>
      <c r="P187" s="350">
        <f t="shared" si="4"/>
        <v>1.5</v>
      </c>
      <c r="Q187" s="350"/>
      <c r="R187" s="350"/>
    </row>
    <row r="188" spans="1:20" ht="17" x14ac:dyDescent="0.2">
      <c r="A188" s="349" t="s">
        <v>1168</v>
      </c>
      <c r="E188" s="350" t="s">
        <v>998</v>
      </c>
      <c r="F188" s="350" t="s">
        <v>778</v>
      </c>
      <c r="G188" s="350" t="s">
        <v>915</v>
      </c>
      <c r="K188" s="351" t="s">
        <v>1169</v>
      </c>
      <c r="L188" s="349" t="s">
        <v>1170</v>
      </c>
      <c r="M188" s="350">
        <v>0</v>
      </c>
      <c r="N188" s="350">
        <v>0.25</v>
      </c>
      <c r="O188" s="350">
        <v>1</v>
      </c>
      <c r="P188" s="350">
        <f t="shared" si="4"/>
        <v>0.25</v>
      </c>
    </row>
    <row r="189" spans="1:20" ht="17" x14ac:dyDescent="0.2">
      <c r="A189" s="349" t="s">
        <v>1171</v>
      </c>
      <c r="E189" s="350" t="s">
        <v>998</v>
      </c>
      <c r="F189" s="350" t="s">
        <v>778</v>
      </c>
      <c r="G189" s="350" t="s">
        <v>915</v>
      </c>
      <c r="K189" s="351" t="s">
        <v>1169</v>
      </c>
      <c r="L189" s="349" t="s">
        <v>1172</v>
      </c>
      <c r="M189" s="350">
        <v>0</v>
      </c>
      <c r="N189" s="350">
        <v>2</v>
      </c>
      <c r="O189" s="350">
        <v>1</v>
      </c>
      <c r="P189" s="350">
        <f t="shared" si="4"/>
        <v>2</v>
      </c>
    </row>
    <row r="190" spans="1:20" ht="17" x14ac:dyDescent="0.2">
      <c r="A190" s="354" t="s">
        <v>1173</v>
      </c>
      <c r="B190" s="355"/>
      <c r="C190" s="355"/>
      <c r="D190" s="355"/>
      <c r="E190" s="356" t="s">
        <v>998</v>
      </c>
      <c r="F190" s="356" t="s">
        <v>778</v>
      </c>
      <c r="G190" s="356" t="s">
        <v>915</v>
      </c>
      <c r="H190" s="357"/>
      <c r="I190" s="357"/>
      <c r="J190" s="358" t="s">
        <v>924</v>
      </c>
      <c r="K190" s="357" t="s">
        <v>807</v>
      </c>
      <c r="L190" s="354" t="s">
        <v>1173</v>
      </c>
      <c r="M190" s="356">
        <v>0</v>
      </c>
      <c r="N190" s="356">
        <f>7/8</f>
        <v>0.875</v>
      </c>
      <c r="O190" s="356">
        <v>1</v>
      </c>
      <c r="P190" s="356">
        <f t="shared" si="4"/>
        <v>0.875</v>
      </c>
    </row>
    <row r="191" spans="1:20" ht="17" x14ac:dyDescent="0.2">
      <c r="A191" s="349" t="s">
        <v>1174</v>
      </c>
      <c r="E191" s="350" t="s">
        <v>998</v>
      </c>
      <c r="F191" s="350" t="s">
        <v>778</v>
      </c>
      <c r="G191" s="350" t="s">
        <v>915</v>
      </c>
      <c r="J191" s="352" t="s">
        <v>924</v>
      </c>
      <c r="K191" s="351" t="s">
        <v>807</v>
      </c>
      <c r="L191" s="349" t="s">
        <v>1175</v>
      </c>
      <c r="M191" s="350">
        <v>0</v>
      </c>
      <c r="N191" s="350">
        <f>1+(3/8)</f>
        <v>1.375</v>
      </c>
      <c r="O191" s="350">
        <v>1</v>
      </c>
      <c r="P191" s="350">
        <f t="shared" si="4"/>
        <v>1.375</v>
      </c>
    </row>
    <row r="192" spans="1:20" ht="17" x14ac:dyDescent="0.2">
      <c r="A192" s="349" t="s">
        <v>1040</v>
      </c>
      <c r="E192" s="350" t="s">
        <v>998</v>
      </c>
      <c r="F192" s="350" t="s">
        <v>778</v>
      </c>
      <c r="G192" s="350" t="s">
        <v>915</v>
      </c>
      <c r="J192" s="352" t="s">
        <v>849</v>
      </c>
      <c r="K192" s="351" t="s">
        <v>807</v>
      </c>
      <c r="L192" s="349" t="s">
        <v>1176</v>
      </c>
      <c r="M192" s="350">
        <v>0</v>
      </c>
      <c r="N192" s="350">
        <v>1.125</v>
      </c>
      <c r="O192" s="350">
        <v>1</v>
      </c>
      <c r="P192" s="350">
        <f t="shared" si="4"/>
        <v>1.125</v>
      </c>
    </row>
    <row r="193" spans="1:16" ht="17" x14ac:dyDescent="0.2">
      <c r="A193" s="349" t="s">
        <v>1177</v>
      </c>
      <c r="E193" s="350" t="s">
        <v>998</v>
      </c>
      <c r="F193" s="350" t="s">
        <v>778</v>
      </c>
      <c r="G193" s="350" t="s">
        <v>915</v>
      </c>
      <c r="K193" s="351" t="s">
        <v>807</v>
      </c>
      <c r="L193" s="349" t="s">
        <v>1178</v>
      </c>
      <c r="M193" s="350">
        <v>0</v>
      </c>
      <c r="N193" s="350">
        <v>1.25</v>
      </c>
      <c r="O193" s="350">
        <v>1</v>
      </c>
      <c r="P193" s="350">
        <f t="shared" si="4"/>
        <v>1.25</v>
      </c>
    </row>
    <row r="194" spans="1:16" ht="17" x14ac:dyDescent="0.2">
      <c r="A194" s="349" t="s">
        <v>1179</v>
      </c>
      <c r="E194" s="350" t="s">
        <v>998</v>
      </c>
      <c r="F194" s="350" t="s">
        <v>778</v>
      </c>
      <c r="G194" s="350" t="s">
        <v>915</v>
      </c>
      <c r="J194" s="352" t="s">
        <v>871</v>
      </c>
      <c r="K194" s="351" t="s">
        <v>823</v>
      </c>
      <c r="L194" s="349" t="s">
        <v>1180</v>
      </c>
      <c r="M194" s="350">
        <v>0</v>
      </c>
      <c r="N194" s="350">
        <v>2.75</v>
      </c>
      <c r="O194" s="350">
        <v>1</v>
      </c>
      <c r="P194" s="350">
        <f t="shared" si="4"/>
        <v>2.75</v>
      </c>
    </row>
    <row r="195" spans="1:16" ht="17" x14ac:dyDescent="0.2">
      <c r="A195" s="349" t="s">
        <v>1181</v>
      </c>
      <c r="D195" s="140"/>
      <c r="E195" s="350" t="s">
        <v>998</v>
      </c>
      <c r="F195" s="350" t="s">
        <v>778</v>
      </c>
      <c r="G195" s="350" t="s">
        <v>915</v>
      </c>
      <c r="K195" s="351" t="s">
        <v>823</v>
      </c>
      <c r="L195" s="349" t="s">
        <v>1182</v>
      </c>
      <c r="M195" s="350">
        <v>0</v>
      </c>
      <c r="N195" s="350">
        <v>0.625</v>
      </c>
      <c r="O195" s="350">
        <v>1</v>
      </c>
      <c r="P195" s="350">
        <f t="shared" si="4"/>
        <v>0.625</v>
      </c>
    </row>
    <row r="196" spans="1:16" ht="17" x14ac:dyDescent="0.2">
      <c r="A196" s="349" t="s">
        <v>1183</v>
      </c>
      <c r="E196" s="350" t="s">
        <v>998</v>
      </c>
      <c r="F196" s="350" t="s">
        <v>778</v>
      </c>
      <c r="G196" s="350" t="s">
        <v>915</v>
      </c>
      <c r="K196" s="351" t="s">
        <v>823</v>
      </c>
      <c r="L196" s="349" t="s">
        <v>1184</v>
      </c>
      <c r="M196" s="350">
        <v>0</v>
      </c>
      <c r="N196" s="350">
        <v>0.875</v>
      </c>
      <c r="O196" s="350">
        <v>1</v>
      </c>
      <c r="P196" s="350">
        <f t="shared" si="4"/>
        <v>0.875</v>
      </c>
    </row>
    <row r="197" spans="1:16" ht="17" x14ac:dyDescent="0.2">
      <c r="A197" s="349" t="s">
        <v>1185</v>
      </c>
      <c r="E197" s="350" t="s">
        <v>998</v>
      </c>
      <c r="F197" s="350" t="s">
        <v>1010</v>
      </c>
      <c r="G197" s="350" t="s">
        <v>915</v>
      </c>
      <c r="K197" s="351" t="s">
        <v>823</v>
      </c>
      <c r="L197" s="349" t="s">
        <v>1186</v>
      </c>
      <c r="M197" s="350">
        <v>0</v>
      </c>
      <c r="N197" s="350">
        <v>1</v>
      </c>
      <c r="O197" s="350">
        <v>1</v>
      </c>
      <c r="P197" s="350">
        <f t="shared" si="4"/>
        <v>1</v>
      </c>
    </row>
    <row r="198" spans="1:16" ht="17" x14ac:dyDescent="0.2">
      <c r="A198" s="349" t="s">
        <v>1177</v>
      </c>
      <c r="E198" s="350" t="s">
        <v>998</v>
      </c>
      <c r="F198" s="350" t="s">
        <v>778</v>
      </c>
      <c r="G198" s="350" t="s">
        <v>915</v>
      </c>
      <c r="K198" s="351" t="s">
        <v>823</v>
      </c>
      <c r="L198" s="396" t="s">
        <v>1187</v>
      </c>
      <c r="M198" s="350">
        <v>0</v>
      </c>
      <c r="N198" s="350">
        <v>0.625</v>
      </c>
      <c r="O198" s="350">
        <v>1</v>
      </c>
      <c r="P198" s="350">
        <f t="shared" si="4"/>
        <v>0.625</v>
      </c>
    </row>
    <row r="199" spans="1:16" ht="17" x14ac:dyDescent="0.2">
      <c r="A199" s="349" t="s">
        <v>1188</v>
      </c>
      <c r="E199" s="350" t="s">
        <v>998</v>
      </c>
      <c r="F199" s="350" t="s">
        <v>778</v>
      </c>
      <c r="G199" s="350" t="s">
        <v>1189</v>
      </c>
      <c r="L199" s="351" t="s">
        <v>1190</v>
      </c>
      <c r="M199" s="350">
        <v>0</v>
      </c>
      <c r="N199" s="350">
        <v>2.75</v>
      </c>
      <c r="O199" s="350">
        <v>1</v>
      </c>
      <c r="P199" s="350">
        <f t="shared" si="4"/>
        <v>2.75</v>
      </c>
    </row>
    <row r="200" spans="1:16" ht="17" x14ac:dyDescent="0.2">
      <c r="A200" s="349" t="s">
        <v>1191</v>
      </c>
      <c r="E200" s="350" t="s">
        <v>998</v>
      </c>
      <c r="F200" s="350" t="s">
        <v>778</v>
      </c>
      <c r="G200" s="350" t="s">
        <v>607</v>
      </c>
      <c r="K200" s="351" t="s">
        <v>823</v>
      </c>
      <c r="L200" s="351" t="s">
        <v>1192</v>
      </c>
      <c r="M200" s="350">
        <v>0</v>
      </c>
      <c r="N200" s="350">
        <v>4.75</v>
      </c>
      <c r="O200" s="350">
        <v>1</v>
      </c>
      <c r="P200" s="350">
        <f t="shared" si="4"/>
        <v>4.75</v>
      </c>
    </row>
    <row r="201" spans="1:16" ht="17" x14ac:dyDescent="0.2">
      <c r="A201" s="349" t="s">
        <v>1193</v>
      </c>
      <c r="E201" s="350" t="s">
        <v>998</v>
      </c>
      <c r="F201" s="350" t="s">
        <v>778</v>
      </c>
      <c r="G201" s="350" t="s">
        <v>607</v>
      </c>
      <c r="K201" s="351" t="s">
        <v>823</v>
      </c>
      <c r="L201" s="349" t="s">
        <v>1193</v>
      </c>
      <c r="M201" s="350">
        <v>0</v>
      </c>
      <c r="N201" s="350">
        <v>2.375</v>
      </c>
      <c r="O201" s="350">
        <v>1</v>
      </c>
      <c r="P201" s="350">
        <f t="shared" si="4"/>
        <v>2.375</v>
      </c>
    </row>
    <row r="202" spans="1:16" ht="17" x14ac:dyDescent="0.2">
      <c r="A202" s="349" t="s">
        <v>1194</v>
      </c>
      <c r="E202" s="350" t="s">
        <v>998</v>
      </c>
      <c r="F202" s="350" t="s">
        <v>1010</v>
      </c>
      <c r="G202" s="350" t="s">
        <v>607</v>
      </c>
      <c r="K202" s="351" t="s">
        <v>823</v>
      </c>
      <c r="L202" s="351" t="s">
        <v>1195</v>
      </c>
      <c r="M202" s="350">
        <v>0</v>
      </c>
      <c r="N202" s="350">
        <v>0.375</v>
      </c>
      <c r="O202" s="350">
        <v>1</v>
      </c>
      <c r="P202" s="350">
        <f t="shared" si="4"/>
        <v>0.375</v>
      </c>
    </row>
    <row r="203" spans="1:16" ht="17" x14ac:dyDescent="0.2">
      <c r="A203" s="349" t="s">
        <v>1196</v>
      </c>
      <c r="E203" s="350" t="s">
        <v>998</v>
      </c>
      <c r="F203" s="350" t="s">
        <v>778</v>
      </c>
      <c r="G203" s="350" t="s">
        <v>607</v>
      </c>
      <c r="L203" s="351" t="s">
        <v>1197</v>
      </c>
      <c r="M203" s="350">
        <v>0</v>
      </c>
      <c r="N203" s="350">
        <v>3.25</v>
      </c>
      <c r="O203" s="350">
        <v>1</v>
      </c>
      <c r="P203" s="350">
        <f t="shared" si="4"/>
        <v>3.25</v>
      </c>
    </row>
    <row r="204" spans="1:16" ht="17" x14ac:dyDescent="0.2">
      <c r="A204" s="349" t="s">
        <v>1198</v>
      </c>
      <c r="E204" s="350" t="s">
        <v>998</v>
      </c>
      <c r="F204" s="350" t="s">
        <v>778</v>
      </c>
      <c r="G204" s="350" t="s">
        <v>607</v>
      </c>
      <c r="L204" s="351" t="s">
        <v>1199</v>
      </c>
      <c r="M204" s="350">
        <v>0</v>
      </c>
      <c r="N204" s="350">
        <v>7.125</v>
      </c>
      <c r="O204" s="350">
        <v>1</v>
      </c>
      <c r="P204" s="350">
        <f t="shared" si="4"/>
        <v>7.125</v>
      </c>
    </row>
    <row r="205" spans="1:16" ht="17" x14ac:dyDescent="0.2">
      <c r="A205" s="349" t="s">
        <v>1200</v>
      </c>
      <c r="E205" s="350" t="s">
        <v>998</v>
      </c>
      <c r="F205" s="350" t="s">
        <v>778</v>
      </c>
      <c r="G205" s="350" t="s">
        <v>607</v>
      </c>
      <c r="L205" s="351" t="s">
        <v>1201</v>
      </c>
      <c r="M205" s="350">
        <v>0</v>
      </c>
      <c r="N205" s="350">
        <v>11</v>
      </c>
      <c r="O205" s="350">
        <v>1</v>
      </c>
      <c r="P205" s="350">
        <f t="shared" si="4"/>
        <v>11</v>
      </c>
    </row>
    <row r="206" spans="1:16" ht="17" x14ac:dyDescent="0.2">
      <c r="A206" s="349" t="s">
        <v>1202</v>
      </c>
      <c r="E206" s="350" t="s">
        <v>998</v>
      </c>
      <c r="F206" s="350" t="s">
        <v>778</v>
      </c>
      <c r="G206" s="350" t="s">
        <v>607</v>
      </c>
      <c r="L206" s="351" t="s">
        <v>1203</v>
      </c>
      <c r="M206" s="350">
        <v>0</v>
      </c>
      <c r="N206" s="350">
        <v>6.25</v>
      </c>
      <c r="O206" s="350">
        <v>1</v>
      </c>
      <c r="P206" s="350">
        <f t="shared" si="4"/>
        <v>6.25</v>
      </c>
    </row>
    <row r="207" spans="1:16" ht="17" x14ac:dyDescent="0.2">
      <c r="A207" s="349" t="s">
        <v>1204</v>
      </c>
      <c r="E207" s="350" t="s">
        <v>998</v>
      </c>
      <c r="F207" s="350" t="s">
        <v>870</v>
      </c>
      <c r="G207" s="350" t="s">
        <v>618</v>
      </c>
      <c r="K207" s="351" t="s">
        <v>868</v>
      </c>
      <c r="L207" s="386" t="s">
        <v>1205</v>
      </c>
      <c r="M207" s="350">
        <v>0</v>
      </c>
      <c r="N207" s="350">
        <f>5+(3/8)</f>
        <v>5.375</v>
      </c>
      <c r="O207" s="350">
        <v>1</v>
      </c>
      <c r="P207" s="350">
        <f t="shared" si="4"/>
        <v>5.375</v>
      </c>
    </row>
    <row r="208" spans="1:16" ht="17" x14ac:dyDescent="0.2">
      <c r="A208" s="349" t="s">
        <v>1206</v>
      </c>
      <c r="E208" s="350" t="s">
        <v>998</v>
      </c>
      <c r="F208" s="350" t="s">
        <v>810</v>
      </c>
      <c r="G208" s="350" t="s">
        <v>618</v>
      </c>
      <c r="K208" s="351" t="s">
        <v>868</v>
      </c>
      <c r="L208" s="351" t="s">
        <v>1207</v>
      </c>
      <c r="M208" s="350">
        <v>1</v>
      </c>
      <c r="N208" s="350">
        <v>0.25</v>
      </c>
      <c r="O208" s="350">
        <v>1</v>
      </c>
      <c r="P208" s="350">
        <f t="shared" si="4"/>
        <v>16.25</v>
      </c>
    </row>
    <row r="209" spans="1:20" ht="17" x14ac:dyDescent="0.2">
      <c r="A209" s="349" t="s">
        <v>967</v>
      </c>
      <c r="E209" s="350" t="s">
        <v>998</v>
      </c>
      <c r="F209" s="350" t="s">
        <v>778</v>
      </c>
      <c r="G209" s="350" t="s">
        <v>968</v>
      </c>
      <c r="I209" s="351" t="s">
        <v>794</v>
      </c>
      <c r="K209" s="351" t="s">
        <v>970</v>
      </c>
      <c r="L209" s="351" t="s">
        <v>1208</v>
      </c>
      <c r="M209" s="350">
        <v>1</v>
      </c>
      <c r="N209" s="350">
        <v>14.125</v>
      </c>
      <c r="O209" s="350">
        <v>1</v>
      </c>
      <c r="P209" s="350">
        <f t="shared" si="4"/>
        <v>30.125</v>
      </c>
    </row>
    <row r="210" spans="1:20" ht="17" x14ac:dyDescent="0.2">
      <c r="A210" s="349" t="s">
        <v>974</v>
      </c>
      <c r="E210" s="350" t="s">
        <v>998</v>
      </c>
      <c r="F210" s="350" t="s">
        <v>778</v>
      </c>
      <c r="G210" s="350" t="s">
        <v>968</v>
      </c>
      <c r="K210" s="351" t="s">
        <v>807</v>
      </c>
      <c r="L210" s="351" t="s">
        <v>1209</v>
      </c>
      <c r="M210" s="350">
        <v>1</v>
      </c>
      <c r="N210" s="350">
        <v>8.625</v>
      </c>
      <c r="O210" s="350">
        <v>1</v>
      </c>
      <c r="P210" s="350">
        <f t="shared" si="4"/>
        <v>24.625</v>
      </c>
    </row>
    <row r="211" spans="1:20" s="357" customFormat="1" ht="17" x14ac:dyDescent="0.2">
      <c r="A211" s="349" t="s">
        <v>1210</v>
      </c>
      <c r="B211" s="131"/>
      <c r="C211" s="131"/>
      <c r="D211" s="131"/>
      <c r="E211" s="350" t="s">
        <v>998</v>
      </c>
      <c r="F211" s="350" t="s">
        <v>778</v>
      </c>
      <c r="G211" s="350" t="s">
        <v>602</v>
      </c>
      <c r="H211" s="351"/>
      <c r="I211" s="351"/>
      <c r="J211" s="352"/>
      <c r="K211" s="351" t="s">
        <v>868</v>
      </c>
      <c r="L211" s="351" t="s">
        <v>1211</v>
      </c>
      <c r="M211" s="350">
        <v>0</v>
      </c>
      <c r="N211" s="350">
        <v>3.375</v>
      </c>
      <c r="O211" s="350">
        <v>1</v>
      </c>
      <c r="P211" s="350">
        <f t="shared" si="4"/>
        <v>3.375</v>
      </c>
    </row>
    <row r="212" spans="1:20" ht="17" x14ac:dyDescent="0.2">
      <c r="A212" s="349" t="s">
        <v>1212</v>
      </c>
      <c r="E212" s="350" t="s">
        <v>998</v>
      </c>
      <c r="F212" s="350" t="s">
        <v>778</v>
      </c>
      <c r="G212" s="350" t="s">
        <v>602</v>
      </c>
      <c r="J212" s="352" t="s">
        <v>1075</v>
      </c>
      <c r="K212" s="351" t="s">
        <v>807</v>
      </c>
      <c r="L212" s="351" t="s">
        <v>1213</v>
      </c>
      <c r="M212" s="350">
        <v>0</v>
      </c>
      <c r="N212" s="350">
        <v>2</v>
      </c>
      <c r="O212" s="350">
        <v>1</v>
      </c>
      <c r="P212" s="350">
        <f t="shared" si="4"/>
        <v>2</v>
      </c>
    </row>
    <row r="213" spans="1:20" ht="17" x14ac:dyDescent="0.2">
      <c r="A213" s="349" t="s">
        <v>1214</v>
      </c>
      <c r="E213" s="350" t="s">
        <v>998</v>
      </c>
      <c r="F213" s="350" t="s">
        <v>778</v>
      </c>
      <c r="G213" s="350" t="s">
        <v>602</v>
      </c>
      <c r="J213" s="352" t="s">
        <v>1075</v>
      </c>
      <c r="K213" s="351" t="s">
        <v>807</v>
      </c>
      <c r="L213" s="351" t="s">
        <v>1215</v>
      </c>
      <c r="M213" s="350">
        <v>0</v>
      </c>
      <c r="N213" s="350">
        <v>4</v>
      </c>
      <c r="O213" s="350">
        <v>1</v>
      </c>
      <c r="P213" s="350">
        <f t="shared" si="4"/>
        <v>4</v>
      </c>
    </row>
    <row r="214" spans="1:20" ht="17" x14ac:dyDescent="0.2">
      <c r="A214" s="349" t="s">
        <v>1216</v>
      </c>
      <c r="E214" s="350" t="s">
        <v>998</v>
      </c>
      <c r="F214" s="350" t="s">
        <v>778</v>
      </c>
      <c r="G214" s="350" t="s">
        <v>602</v>
      </c>
      <c r="J214" s="352" t="s">
        <v>1075</v>
      </c>
      <c r="K214" s="351" t="s">
        <v>807</v>
      </c>
      <c r="L214" s="351" t="s">
        <v>1217</v>
      </c>
      <c r="M214" s="350">
        <v>0</v>
      </c>
      <c r="N214" s="350">
        <v>3.125</v>
      </c>
      <c r="O214" s="350">
        <v>1</v>
      </c>
      <c r="P214" s="350">
        <f t="shared" si="4"/>
        <v>3.125</v>
      </c>
    </row>
    <row r="215" spans="1:20" ht="17" x14ac:dyDescent="0.2">
      <c r="A215" s="349" t="s">
        <v>1218</v>
      </c>
      <c r="E215" s="350" t="s">
        <v>998</v>
      </c>
      <c r="F215" s="350" t="s">
        <v>778</v>
      </c>
      <c r="G215" s="350" t="s">
        <v>602</v>
      </c>
      <c r="J215" s="352" t="s">
        <v>977</v>
      </c>
      <c r="K215" s="351" t="s">
        <v>807</v>
      </c>
      <c r="L215" s="351" t="s">
        <v>1219</v>
      </c>
      <c r="M215" s="350">
        <v>0</v>
      </c>
      <c r="N215" s="350">
        <v>7</v>
      </c>
      <c r="O215" s="350">
        <v>1</v>
      </c>
      <c r="P215" s="350">
        <f t="shared" si="4"/>
        <v>7</v>
      </c>
    </row>
    <row r="216" spans="1:20" ht="17" x14ac:dyDescent="0.2">
      <c r="A216" s="349" t="s">
        <v>1220</v>
      </c>
      <c r="E216" s="350" t="s">
        <v>998</v>
      </c>
      <c r="F216" s="350" t="s">
        <v>1010</v>
      </c>
      <c r="G216" s="350" t="s">
        <v>602</v>
      </c>
      <c r="K216" s="351" t="s">
        <v>982</v>
      </c>
      <c r="L216" s="351" t="s">
        <v>1221</v>
      </c>
      <c r="M216" s="350">
        <v>0</v>
      </c>
      <c r="N216" s="350">
        <v>1.25</v>
      </c>
      <c r="O216" s="350">
        <v>1</v>
      </c>
      <c r="P216" s="350">
        <f t="shared" si="4"/>
        <v>1.25</v>
      </c>
    </row>
    <row r="217" spans="1:20" ht="17" x14ac:dyDescent="0.2">
      <c r="A217" s="349" t="s">
        <v>1222</v>
      </c>
      <c r="E217" s="350" t="s">
        <v>998</v>
      </c>
      <c r="F217" s="350" t="s">
        <v>1010</v>
      </c>
      <c r="G217" s="350" t="s">
        <v>602</v>
      </c>
      <c r="K217" s="351" t="s">
        <v>982</v>
      </c>
      <c r="L217" s="351" t="s">
        <v>1223</v>
      </c>
      <c r="M217" s="350">
        <v>0</v>
      </c>
      <c r="N217" s="350">
        <v>14.375</v>
      </c>
      <c r="O217" s="350">
        <v>1</v>
      </c>
      <c r="P217" s="350">
        <f t="shared" si="4"/>
        <v>14.375</v>
      </c>
    </row>
    <row r="218" spans="1:20" ht="17" x14ac:dyDescent="0.2">
      <c r="A218" s="349" t="s">
        <v>1224</v>
      </c>
      <c r="E218" s="350" t="s">
        <v>998</v>
      </c>
      <c r="F218" s="350" t="s">
        <v>778</v>
      </c>
      <c r="G218" s="350" t="s">
        <v>602</v>
      </c>
      <c r="K218" s="351" t="s">
        <v>982</v>
      </c>
      <c r="L218" s="351" t="s">
        <v>1225</v>
      </c>
      <c r="M218" s="350">
        <v>0</v>
      </c>
      <c r="N218" s="350">
        <v>1.5</v>
      </c>
      <c r="O218" s="350">
        <v>1</v>
      </c>
      <c r="P218" s="350">
        <f t="shared" si="4"/>
        <v>1.5</v>
      </c>
      <c r="R218" s="367"/>
      <c r="S218" s="367"/>
      <c r="T218" s="367"/>
    </row>
    <row r="219" spans="1:20" s="367" customFormat="1" ht="17" x14ac:dyDescent="0.2">
      <c r="A219" s="349" t="s">
        <v>984</v>
      </c>
      <c r="B219" s="131"/>
      <c r="C219" s="131"/>
      <c r="D219" s="131"/>
      <c r="E219" s="350" t="s">
        <v>998</v>
      </c>
      <c r="F219" s="350" t="s">
        <v>778</v>
      </c>
      <c r="G219" s="350" t="s">
        <v>602</v>
      </c>
      <c r="H219" s="351"/>
      <c r="I219" s="351"/>
      <c r="J219" s="352"/>
      <c r="K219" s="351" t="s">
        <v>982</v>
      </c>
      <c r="L219" s="351" t="s">
        <v>1226</v>
      </c>
      <c r="M219" s="350">
        <v>0</v>
      </c>
      <c r="N219" s="350">
        <v>6.25</v>
      </c>
      <c r="O219" s="350">
        <v>1</v>
      </c>
      <c r="P219" s="393">
        <f t="shared" si="4"/>
        <v>6.25</v>
      </c>
      <c r="Q219" s="351"/>
      <c r="R219" s="351"/>
      <c r="S219" s="351"/>
      <c r="T219" s="351"/>
    </row>
    <row r="220" spans="1:20" ht="17" x14ac:dyDescent="0.2">
      <c r="A220" s="349" t="s">
        <v>1227</v>
      </c>
      <c r="E220" s="350" t="s">
        <v>998</v>
      </c>
      <c r="F220" s="350" t="s">
        <v>778</v>
      </c>
      <c r="G220" s="350" t="s">
        <v>602</v>
      </c>
      <c r="K220" s="351" t="s">
        <v>982</v>
      </c>
      <c r="L220" s="386" t="s">
        <v>1228</v>
      </c>
      <c r="M220" s="350">
        <v>0</v>
      </c>
      <c r="N220" s="350">
        <v>1.375</v>
      </c>
      <c r="O220" s="350">
        <v>1</v>
      </c>
      <c r="P220" s="393">
        <f t="shared" si="4"/>
        <v>1.375</v>
      </c>
    </row>
    <row r="221" spans="1:20" ht="17" x14ac:dyDescent="0.2">
      <c r="A221" s="349" t="s">
        <v>1229</v>
      </c>
      <c r="E221" s="350" t="s">
        <v>998</v>
      </c>
      <c r="F221" s="350" t="s">
        <v>778</v>
      </c>
      <c r="G221" s="350" t="s">
        <v>602</v>
      </c>
      <c r="K221" s="351" t="s">
        <v>985</v>
      </c>
      <c r="L221" s="351" t="s">
        <v>1230</v>
      </c>
      <c r="M221" s="350">
        <v>1</v>
      </c>
      <c r="N221" s="350">
        <v>2.75</v>
      </c>
      <c r="O221" s="350">
        <v>1</v>
      </c>
      <c r="P221" s="350">
        <f t="shared" si="4"/>
        <v>18.75</v>
      </c>
    </row>
    <row r="222" spans="1:20" s="367" customFormat="1" ht="17" x14ac:dyDescent="0.2">
      <c r="A222" s="349" t="s">
        <v>1231</v>
      </c>
      <c r="B222" s="131"/>
      <c r="C222" s="131"/>
      <c r="D222" s="131"/>
      <c r="E222" s="350" t="s">
        <v>998</v>
      </c>
      <c r="F222" s="350" t="s">
        <v>778</v>
      </c>
      <c r="G222" s="350" t="s">
        <v>602</v>
      </c>
      <c r="H222" s="351"/>
      <c r="I222" s="351"/>
      <c r="J222" s="352"/>
      <c r="K222" s="351" t="s">
        <v>823</v>
      </c>
      <c r="L222" s="351" t="s">
        <v>1232</v>
      </c>
      <c r="M222" s="350">
        <v>0</v>
      </c>
      <c r="N222" s="350">
        <v>0.875</v>
      </c>
      <c r="O222" s="350">
        <v>1</v>
      </c>
      <c r="P222" s="350">
        <f t="shared" si="4"/>
        <v>0.875</v>
      </c>
      <c r="Q222" s="351"/>
    </row>
    <row r="223" spans="1:20" ht="17" x14ac:dyDescent="0.2">
      <c r="A223" s="349" t="s">
        <v>1233</v>
      </c>
      <c r="E223" s="350" t="s">
        <v>998</v>
      </c>
      <c r="F223" s="350" t="s">
        <v>778</v>
      </c>
      <c r="G223" s="350" t="s">
        <v>602</v>
      </c>
      <c r="K223" s="351" t="s">
        <v>823</v>
      </c>
      <c r="L223" s="351" t="s">
        <v>1234</v>
      </c>
      <c r="M223" s="350">
        <v>0</v>
      </c>
      <c r="N223" s="350">
        <f>6.75+2.375</f>
        <v>9.125</v>
      </c>
      <c r="O223" s="350">
        <v>1</v>
      </c>
      <c r="P223" s="350">
        <f t="shared" si="4"/>
        <v>9.125</v>
      </c>
    </row>
    <row r="224" spans="1:20" ht="34" x14ac:dyDescent="0.2">
      <c r="A224" s="349" t="s">
        <v>1235</v>
      </c>
      <c r="E224" s="350" t="s">
        <v>998</v>
      </c>
      <c r="F224" s="350" t="s">
        <v>778</v>
      </c>
      <c r="G224" s="350" t="s">
        <v>602</v>
      </c>
      <c r="L224" s="349" t="s">
        <v>1236</v>
      </c>
      <c r="M224" s="350">
        <v>0</v>
      </c>
      <c r="N224" s="350">
        <v>3</v>
      </c>
      <c r="O224" s="350">
        <v>1</v>
      </c>
      <c r="P224" s="350">
        <f t="shared" si="4"/>
        <v>3</v>
      </c>
    </row>
    <row r="225" spans="1:17" ht="17" x14ac:dyDescent="0.2">
      <c r="A225" s="349" t="s">
        <v>1237</v>
      </c>
      <c r="E225" s="350" t="s">
        <v>998</v>
      </c>
      <c r="F225" s="350" t="s">
        <v>778</v>
      </c>
      <c r="G225" s="350" t="s">
        <v>602</v>
      </c>
      <c r="L225" s="351" t="s">
        <v>1238</v>
      </c>
      <c r="M225" s="350">
        <v>0</v>
      </c>
      <c r="N225" s="350">
        <v>2.875</v>
      </c>
      <c r="O225" s="350">
        <v>1</v>
      </c>
      <c r="P225" s="350">
        <f t="shared" si="4"/>
        <v>2.875</v>
      </c>
    </row>
    <row r="226" spans="1:17" ht="17" x14ac:dyDescent="0.2">
      <c r="A226" s="349" t="s">
        <v>1239</v>
      </c>
      <c r="E226" s="350" t="s">
        <v>998</v>
      </c>
      <c r="F226" s="350" t="s">
        <v>778</v>
      </c>
      <c r="G226" s="350" t="s">
        <v>602</v>
      </c>
      <c r="L226" s="351" t="s">
        <v>1240</v>
      </c>
      <c r="M226" s="350">
        <v>0</v>
      </c>
      <c r="N226" s="350">
        <v>3.375</v>
      </c>
      <c r="O226" s="350">
        <v>1</v>
      </c>
      <c r="P226" s="350">
        <f t="shared" si="4"/>
        <v>3.375</v>
      </c>
    </row>
    <row r="227" spans="1:17" s="367" customFormat="1" ht="17" x14ac:dyDescent="0.2">
      <c r="A227" s="349" t="s">
        <v>1241</v>
      </c>
      <c r="B227" s="131"/>
      <c r="C227" s="131"/>
      <c r="D227" s="131"/>
      <c r="E227" s="350" t="s">
        <v>998</v>
      </c>
      <c r="F227" s="350" t="s">
        <v>778</v>
      </c>
      <c r="G227" s="350" t="s">
        <v>602</v>
      </c>
      <c r="H227" s="351"/>
      <c r="I227" s="351"/>
      <c r="J227" s="352"/>
      <c r="K227" s="351"/>
      <c r="L227" s="351" t="s">
        <v>1242</v>
      </c>
      <c r="M227" s="350">
        <v>0</v>
      </c>
      <c r="N227" s="350">
        <v>11.25</v>
      </c>
      <c r="O227" s="350">
        <v>1</v>
      </c>
      <c r="P227" s="397">
        <f t="shared" si="4"/>
        <v>11.25</v>
      </c>
      <c r="Q227" s="351"/>
    </row>
    <row r="228" spans="1:17" x14ac:dyDescent="0.2">
      <c r="A228" s="398"/>
      <c r="B228" s="399"/>
      <c r="C228" s="399"/>
      <c r="D228" s="399" t="s">
        <v>776</v>
      </c>
      <c r="E228" s="400"/>
      <c r="F228" s="400"/>
      <c r="G228" s="400"/>
      <c r="H228" s="401"/>
      <c r="I228" s="401"/>
      <c r="J228" s="402"/>
      <c r="K228" s="401"/>
      <c r="L228" s="401"/>
      <c r="M228" s="400">
        <f>SUM(M5:M103)</f>
        <v>26</v>
      </c>
      <c r="N228" s="400">
        <f>SUM(N5:N103)</f>
        <v>295.02999999999997</v>
      </c>
      <c r="O228" s="400"/>
      <c r="P228" s="400">
        <f>SUM(P5:P103)</f>
        <v>746.31</v>
      </c>
    </row>
    <row r="229" spans="1:17" x14ac:dyDescent="0.2">
      <c r="A229" s="403"/>
      <c r="B229" s="170"/>
      <c r="C229" s="170"/>
      <c r="D229" s="170" t="s">
        <v>776</v>
      </c>
      <c r="E229" s="393"/>
      <c r="F229" s="393"/>
      <c r="G229" s="393"/>
      <c r="H229" s="404"/>
      <c r="I229" s="404"/>
      <c r="J229" s="405"/>
      <c r="K229" s="404"/>
      <c r="L229" s="404" t="s">
        <v>1243</v>
      </c>
      <c r="M229" s="406">
        <f>P228/16</f>
        <v>46.644374999999997</v>
      </c>
      <c r="N229" s="393"/>
      <c r="O229" s="393"/>
      <c r="P229" s="393"/>
    </row>
    <row r="230" spans="1:17" x14ac:dyDescent="0.2">
      <c r="N230" s="407"/>
    </row>
    <row r="231" spans="1:17" ht="51" x14ac:dyDescent="0.2">
      <c r="A231" s="408" t="s">
        <v>1244</v>
      </c>
      <c r="M231" s="407"/>
    </row>
    <row r="232" spans="1:17" x14ac:dyDescent="0.2">
      <c r="A232" s="409"/>
    </row>
  </sheetData>
  <autoFilter ref="A4:P229" xr:uid="{B3BED3AA-AFBE-DB43-9EDE-4D1E443E9508}"/>
  <mergeCells count="2">
    <mergeCell ref="M3:N3"/>
    <mergeCell ref="A1:P1"/>
  </mergeCells>
  <hyperlinks>
    <hyperlink ref="L141" r:id="rId1" xr:uid="{AEE93989-8BE7-484D-B2C9-C6CE5CB85DB5}"/>
    <hyperlink ref="L148" r:id="rId2" xr:uid="{AA465794-BB71-A64D-A71D-443775826626}"/>
    <hyperlink ref="L111" r:id="rId3" xr:uid="{ECE74EDA-C81F-C749-9741-D528C21333DE}"/>
    <hyperlink ref="L144" r:id="rId4" xr:uid="{04FB8619-CB9E-FC43-818B-0DC58E6BC5EE}"/>
    <hyperlink ref="L107" r:id="rId5" xr:uid="{DC6D3B0E-A5ED-3B45-81ED-E50206ED15DA}"/>
    <hyperlink ref="L158" r:id="rId6" display="Buff headware (bandana)" xr:uid="{199AA754-F53C-A045-831B-D05104F03D49}"/>
    <hyperlink ref="L150" r:id="rId7" xr:uid="{C2B62492-49A6-2347-9886-B409BF8543FA}"/>
    <hyperlink ref="L149" r:id="rId8" xr:uid="{5B7E964F-3742-674C-B6E9-0A0EC87A226D}"/>
    <hyperlink ref="L109" r:id="rId9" xr:uid="{10D55EF5-05E9-9E46-8484-B6694DFE9A00}"/>
    <hyperlink ref="L24" r:id="rId10" display="Sports Bra (black, Champion)" xr:uid="{4D7FFDF2-3756-8D48-BA59-711191938653}"/>
    <hyperlink ref="L142" r:id="rId11" xr:uid="{FE5B487D-1BCE-EA40-8DB7-2B974E6F84B1}"/>
    <hyperlink ref="L153" r:id="rId12" xr:uid="{237BD067-3BA9-8E41-A445-CC72CF55BB12}"/>
    <hyperlink ref="L139" r:id="rId13" xr:uid="{8CB4E366-AC0A-A849-93B8-756349CCD794}"/>
    <hyperlink ref="L89" r:id="rId14" display="Western Mountaineering Versalite 6' 10-degree Bag (in 20L Sea to Summit Ultra-Sil Dry Sack)" xr:uid="{E1C62556-1B6C-F64C-8F7A-853AEE89E7E8}"/>
    <hyperlink ref="L103" r:id="rId15" xr:uid="{2B2D6E76-03C2-1E48-A6C9-1FBD13EE88B4}"/>
    <hyperlink ref="L180" r:id="rId16" xr:uid="{625D0FE1-C813-DF44-9F90-D5FD94C1A4CC}"/>
    <hyperlink ref="L170" r:id="rId17" xr:uid="{4E38B36C-9431-7640-9EB7-2923C8468EA1}"/>
    <hyperlink ref="L37" r:id="rId18" xr:uid="{6BFE714D-95AC-B64C-9F4C-3533782AFB45}"/>
    <hyperlink ref="L7" r:id="rId19" location="start=1" xr:uid="{AC2C4191-0FBC-1846-A8C9-52559E25C0BF}"/>
    <hyperlink ref="L6" r:id="rId20" display="VivoBarefoot Ultra Pure Amphibious Sneaker" xr:uid="{52FDA5B7-9C0A-0342-B3A4-87A4060E34A2}"/>
    <hyperlink ref="L17" r:id="rId21" display="Exofficio GIVE-N-GO® BIKINI BRIEF (black)" xr:uid="{EF0A60E3-E78A-B544-8932-B835522AFEF0}"/>
    <hyperlink ref="L26" r:id="rId22" display="Exofficio GIVE-N-GO® BIKINI BRIEF (black)" xr:uid="{66839A45-25D0-A64B-BF81-CF2FE7F44E64}"/>
    <hyperlink ref="L168" r:id="rId23" xr:uid="{54F2E33B-2DC3-1343-87C8-27AE02D5F90A}"/>
    <hyperlink ref="L34" r:id="rId24" xr:uid="{A7E3E04C-11F6-6347-9BEA-7B441C87C51C}"/>
    <hyperlink ref="L61" r:id="rId25" display="Black Diamond Storm Headlamp (in Loksak)" xr:uid="{89BE1829-E8FD-1045-992B-3B410CD3C281}"/>
    <hyperlink ref="L96" r:id="rId26" xr:uid="{35461337-8D48-644D-8A3B-C99CD0D41AB4}"/>
    <hyperlink ref="L135" r:id="rId27" xr:uid="{53F9A794-75FC-2C47-B096-62AC4B5E7492}"/>
    <hyperlink ref="L131" r:id="rId28" display="Hennessey Hammock Explorer Ultralight Asym Zip" xr:uid="{EBEFC8F0-F8E0-794F-9676-6CD3C5A1B313}"/>
    <hyperlink ref="L132" r:id="rId29" display="Hennessey Hex Rainfly 30D Silnylon" xr:uid="{12DC742A-FB1F-8343-A9C8-9763AA5FC690}"/>
    <hyperlink ref="L130" r:id="rId30" xr:uid="{159F6007-A7EF-1841-837A-9D5288FB1FAD}"/>
    <hyperlink ref="L52" r:id="rId31" xr:uid="{6C889F44-68D7-AF4F-9177-9E2A46ECE619}"/>
    <hyperlink ref="L136" r:id="rId32" display="1.75mm Dyneema Cord (30')" xr:uid="{BF76E3A7-8730-FD45-ABA4-970204339FF6}"/>
    <hyperlink ref="L48" r:id="rId33" display="Jeff’s Gear Hammock/Pack Cover" xr:uid="{6AE6CDA2-19F8-2C48-8060-1B1A96D1034C}"/>
    <hyperlink ref="L35" r:id="rId34" display="Spot Gen3 Satellite Personal Tracker" xr:uid="{46F4AB2A-FCEC-4E43-A9FE-1222A2D7F857}"/>
    <hyperlink ref="L198" r:id="rId35" xr:uid="{EC371FC9-74B6-9C45-BC78-BB4587D52985}"/>
    <hyperlink ref="L76" r:id="rId36" xr:uid="{9684A461-9CBD-CC46-909D-0A880155C299}"/>
    <hyperlink ref="L83" r:id="rId37" xr:uid="{257BC60D-73AE-FB46-8F21-7790E7824842}"/>
    <hyperlink ref="L62" r:id="rId38" location=".VWZIwKbDGTU" xr:uid="{2E037A5C-222B-DF48-BE3F-AFE46E63D86B}"/>
    <hyperlink ref="L220" r:id="rId39" xr:uid="{FB9FFB8D-075E-D945-97F7-691FCF45B1C1}"/>
    <hyperlink ref="L100" r:id="rId40" xr:uid="{998956FF-20CD-B340-9DEB-F781D871162B}"/>
    <hyperlink ref="L115" r:id="rId41" display="Duco Unisex Wear Over Prescription Sunglasses" xr:uid="{6E4A10A6-ECCF-1945-99C3-949688BE4EFE}"/>
    <hyperlink ref="L86" r:id="rId42" xr:uid="{0093430A-D77E-6C4A-AFF5-8A7C52D92F72}"/>
    <hyperlink ref="L207" r:id="rId43" xr:uid="{AFA10D5C-102C-6043-9A70-FFEFBAEE10D7}"/>
    <hyperlink ref="L179" r:id="rId44" xr:uid="{E2BBC7E2-FE20-E240-AABE-D68CB9CE4A99}"/>
    <hyperlink ref="L159" r:id="rId45" xr:uid="{074EB9E6-BD2F-5643-9E53-922EDC79FBA0}"/>
    <hyperlink ref="L28" r:id="rId46" xr:uid="{56F926DC-C92D-7841-8B58-584E131F2891}"/>
    <hyperlink ref="L47" r:id="rId47" xr:uid="{B5B88242-641E-1B48-A19B-3E2B9621A4D1}"/>
    <hyperlink ref="L33" r:id="rId48" xr:uid="{91224A5D-D3C3-2C4C-BC4B-3E1974633E80}"/>
    <hyperlink ref="L36" r:id="rId49" display="Salomon QUEST PRIME GTX Hiking Boot" xr:uid="{975121E9-8AC6-9E46-8E81-7D287F254146}"/>
    <hyperlink ref="L160" r:id="rId50" display="Bison Designs Manzo Belt" xr:uid="{EB66E729-E58E-104A-8CF5-8BD4E92CA831}"/>
    <hyperlink ref="L55" r:id="rId51" xr:uid="{0CADB69A-A433-B64F-90AA-F705EF4A9F27}"/>
    <hyperlink ref="L20" r:id="rId52" display="Duco Unisex Wear Over Prescription Sunglasses" xr:uid="{38F69B2B-7412-D440-A0B7-3893CD1D7D05}"/>
    <hyperlink ref="L88" r:id="rId53" xr:uid="{1C1A8AE4-63A5-DF47-A277-4293D10722B5}"/>
    <hyperlink ref="L87" r:id="rId54" display="Elizabeth Wenk's John Muir Trail Data Book" xr:uid="{EDBFB8BE-E6B6-5641-839E-734ED90F1CD9}"/>
    <hyperlink ref="L99" r:id="rId55" xr:uid="{397A5F2E-D414-9947-AA94-8A4A7CD4A127}"/>
    <hyperlink ref="L32" r:id="rId56" display="USB iPhone Power Cord &amp; Anker PowerPort II 2 Ports a/c adapter (in loksak)" xr:uid="{CC2D3FE5-AB4B-2E42-9B13-5ABBD233C470}"/>
    <hyperlink ref="L13" r:id="rId57" xr:uid="{4ED87A8C-1E87-5B42-99A4-D9ECD0F68CBA}"/>
    <hyperlink ref="L114" r:id="rId58" xr:uid="{102E8A3A-C0AA-0C45-9E9C-FECA08FB9EA0}"/>
    <hyperlink ref="L22" r:id="rId59" xr:uid="{C588D1C2-1066-634F-B2AE-A7A71ACC53E5}"/>
    <hyperlink ref="L18" r:id="rId60" xr:uid="{C1B89432-51F2-7C41-A0AE-C4762A800681}"/>
    <hyperlink ref="L29" r:id="rId61" location="hero=0" xr:uid="{30057779-D2EE-874F-9D52-166A0BA249A7}"/>
    <hyperlink ref="L54" r:id="rId62" xr:uid="{50A8D80D-03D3-414E-957F-2F770D338463}"/>
    <hyperlink ref="L78" r:id="rId63" xr:uid="{408E0D96-124F-7343-8BB1-4B92B66FBF9E}"/>
  </hyperlinks>
  <printOptions horizontalCentered="1" gridLines="1"/>
  <pageMargins left="0.25" right="0.25" top="0.75" bottom="0.75" header="0.3" footer="0.3"/>
  <pageSetup scale="44" fitToHeight="2" orientation="landscape"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E77F3-3AEE-5049-BD75-2298ADC02C55}">
  <sheetPr>
    <pageSetUpPr fitToPage="1"/>
  </sheetPr>
  <dimension ref="A1:K258"/>
  <sheetViews>
    <sheetView workbookViewId="0">
      <selection activeCell="A2" sqref="A2"/>
    </sheetView>
  </sheetViews>
  <sheetFormatPr baseColWidth="10" defaultColWidth="255.6640625" defaultRowHeight="16" x14ac:dyDescent="0.2"/>
  <cols>
    <col min="1" max="1" width="12.83203125" style="410" bestFit="1" customWidth="1"/>
    <col min="2" max="2" width="20.33203125" style="410" bestFit="1" customWidth="1"/>
    <col min="3" max="3" width="13.83203125" style="410" bestFit="1" customWidth="1"/>
    <col min="4" max="4" width="19.33203125" style="410" bestFit="1" customWidth="1"/>
    <col min="5" max="5" width="29.5" style="410" bestFit="1" customWidth="1"/>
    <col min="6" max="6" width="64.6640625" style="193" customWidth="1"/>
    <col min="7" max="7" width="9" style="229" bestFit="1" customWidth="1"/>
    <col min="8" max="8" width="8.33203125" style="411" bestFit="1" customWidth="1"/>
    <col min="9" max="9" width="8.83203125" style="229" bestFit="1" customWidth="1"/>
    <col min="10" max="10" width="7" style="412" bestFit="1" customWidth="1"/>
    <col min="11" max="11" width="18.1640625" style="410" bestFit="1" customWidth="1"/>
    <col min="12" max="16384" width="255.6640625" style="410"/>
  </cols>
  <sheetData>
    <row r="1" spans="1:11" ht="52" customHeight="1" x14ac:dyDescent="0.2">
      <c r="A1" s="448" t="s">
        <v>1327</v>
      </c>
      <c r="B1" s="448"/>
      <c r="C1" s="448"/>
      <c r="D1" s="448"/>
      <c r="E1" s="448"/>
      <c r="F1" s="448"/>
      <c r="G1" s="448"/>
      <c r="H1" s="448"/>
      <c r="I1" s="448"/>
      <c r="J1" s="448"/>
    </row>
    <row r="3" spans="1:11" x14ac:dyDescent="0.2">
      <c r="A3" s="418" t="s">
        <v>766</v>
      </c>
      <c r="B3" s="410" t="s">
        <v>776</v>
      </c>
    </row>
    <row r="5" spans="1:11" s="193" customFormat="1" ht="85" x14ac:dyDescent="0.2">
      <c r="A5" s="419" t="s">
        <v>767</v>
      </c>
      <c r="B5" s="419" t="s">
        <v>551</v>
      </c>
      <c r="C5" s="419" t="s">
        <v>769</v>
      </c>
      <c r="D5" s="419" t="s">
        <v>772</v>
      </c>
      <c r="E5" s="419" t="s">
        <v>465</v>
      </c>
      <c r="F5" s="419" t="s">
        <v>375</v>
      </c>
      <c r="G5" s="420" t="s">
        <v>552</v>
      </c>
      <c r="H5" s="413" t="s">
        <v>1245</v>
      </c>
      <c r="I5" s="192" t="s">
        <v>1246</v>
      </c>
      <c r="J5" s="414" t="s">
        <v>1247</v>
      </c>
      <c r="K5" s="410"/>
    </row>
    <row r="6" spans="1:11" x14ac:dyDescent="0.2">
      <c r="A6" s="410" t="s">
        <v>777</v>
      </c>
      <c r="B6" s="410" t="s">
        <v>775</v>
      </c>
      <c r="C6" s="410" t="s">
        <v>516</v>
      </c>
      <c r="D6" s="410" t="s">
        <v>516</v>
      </c>
      <c r="E6" s="410" t="s">
        <v>775</v>
      </c>
      <c r="F6" s="410" t="s">
        <v>780</v>
      </c>
      <c r="G6" s="410">
        <v>1</v>
      </c>
      <c r="H6" s="411">
        <v>76</v>
      </c>
      <c r="I6" s="415">
        <v>0.10183435837654595</v>
      </c>
      <c r="J6" s="412">
        <v>4.75</v>
      </c>
    </row>
    <row r="7" spans="1:11" x14ac:dyDescent="0.2">
      <c r="B7" s="229" t="s">
        <v>1248</v>
      </c>
      <c r="C7" s="229"/>
      <c r="D7" s="229"/>
      <c r="E7" s="229"/>
      <c r="F7" s="229"/>
      <c r="H7" s="411">
        <v>76</v>
      </c>
      <c r="I7" s="415">
        <v>0.10183435837654595</v>
      </c>
      <c r="J7" s="412">
        <v>4.75</v>
      </c>
    </row>
    <row r="8" spans="1:11" x14ac:dyDescent="0.2">
      <c r="B8" s="410" t="s">
        <v>782</v>
      </c>
      <c r="C8" s="410" t="s">
        <v>783</v>
      </c>
      <c r="D8" s="410" t="s">
        <v>784</v>
      </c>
      <c r="E8" s="410" t="s">
        <v>781</v>
      </c>
      <c r="F8" s="410" t="s">
        <v>785</v>
      </c>
      <c r="G8" s="410">
        <v>1</v>
      </c>
      <c r="H8" s="411">
        <v>7.25</v>
      </c>
      <c r="I8" s="415">
        <v>9.7144618188152385E-3</v>
      </c>
      <c r="J8" s="412">
        <v>0.453125</v>
      </c>
    </row>
    <row r="9" spans="1:11" x14ac:dyDescent="0.2">
      <c r="D9" s="410" t="s">
        <v>788</v>
      </c>
      <c r="E9" s="410" t="s">
        <v>790</v>
      </c>
      <c r="F9" s="410" t="s">
        <v>792</v>
      </c>
      <c r="G9" s="410">
        <v>1</v>
      </c>
      <c r="H9" s="411">
        <v>5.375</v>
      </c>
      <c r="I9" s="415">
        <v>7.2021010036044004E-3</v>
      </c>
      <c r="J9" s="412">
        <v>0.3359375</v>
      </c>
    </row>
    <row r="10" spans="1:11" x14ac:dyDescent="0.2">
      <c r="E10" s="410" t="s">
        <v>786</v>
      </c>
      <c r="F10" s="410" t="s">
        <v>789</v>
      </c>
      <c r="G10" s="410">
        <v>1</v>
      </c>
      <c r="H10" s="411">
        <v>6.375</v>
      </c>
      <c r="I10" s="415">
        <v>8.5420267717168478E-3</v>
      </c>
      <c r="J10" s="412">
        <v>0.3984375</v>
      </c>
    </row>
    <row r="11" spans="1:11" x14ac:dyDescent="0.2">
      <c r="E11" s="410" t="s">
        <v>793</v>
      </c>
      <c r="F11" s="410" t="s">
        <v>795</v>
      </c>
      <c r="G11" s="410">
        <v>1</v>
      </c>
      <c r="H11" s="411">
        <v>8.75</v>
      </c>
      <c r="I11" s="415">
        <v>1.1724350470983908E-2</v>
      </c>
      <c r="J11" s="412">
        <v>0.546875</v>
      </c>
    </row>
    <row r="12" spans="1:11" x14ac:dyDescent="0.2">
      <c r="E12" s="410" t="s">
        <v>796</v>
      </c>
      <c r="F12" s="410" t="s">
        <v>797</v>
      </c>
      <c r="G12" s="410">
        <v>1</v>
      </c>
      <c r="H12" s="411">
        <v>2.875</v>
      </c>
      <c r="I12" s="415">
        <v>3.8522865833232841E-3</v>
      </c>
      <c r="J12" s="412">
        <v>0.1796875</v>
      </c>
    </row>
    <row r="13" spans="1:11" x14ac:dyDescent="0.2">
      <c r="E13" s="410" t="s">
        <v>798</v>
      </c>
      <c r="F13" s="410" t="s">
        <v>799</v>
      </c>
      <c r="G13" s="410">
        <v>1</v>
      </c>
      <c r="H13" s="411">
        <v>2.375</v>
      </c>
      <c r="I13" s="415">
        <v>3.1823236992670608E-3</v>
      </c>
      <c r="J13" s="412">
        <v>0.1484375</v>
      </c>
    </row>
    <row r="14" spans="1:11" x14ac:dyDescent="0.2">
      <c r="E14" s="410" t="s">
        <v>800</v>
      </c>
      <c r="F14" s="410" t="s">
        <v>801</v>
      </c>
      <c r="G14" s="410">
        <v>1</v>
      </c>
      <c r="H14" s="411">
        <v>1.125</v>
      </c>
      <c r="I14" s="415">
        <v>1.5074164891265025E-3</v>
      </c>
      <c r="J14" s="412">
        <v>7.03125E-2</v>
      </c>
    </row>
    <row r="15" spans="1:11" x14ac:dyDescent="0.2">
      <c r="E15" s="410" t="s">
        <v>802</v>
      </c>
      <c r="F15" s="410" t="s">
        <v>803</v>
      </c>
      <c r="G15" s="410">
        <v>1</v>
      </c>
      <c r="H15" s="411">
        <v>1.875</v>
      </c>
      <c r="I15" s="415">
        <v>2.5123608152108376E-3</v>
      </c>
      <c r="J15" s="412">
        <v>0.1171875</v>
      </c>
    </row>
    <row r="16" spans="1:11" x14ac:dyDescent="0.2">
      <c r="C16" s="410" t="s">
        <v>805</v>
      </c>
      <c r="D16" s="410" t="s">
        <v>807</v>
      </c>
      <c r="E16" s="410" t="s">
        <v>804</v>
      </c>
      <c r="F16" s="410" t="s">
        <v>808</v>
      </c>
      <c r="G16" s="410">
        <v>1</v>
      </c>
      <c r="H16" s="411">
        <v>3.875</v>
      </c>
      <c r="I16" s="415">
        <v>5.1922123514357311E-3</v>
      </c>
      <c r="J16" s="412">
        <v>0.2421875</v>
      </c>
    </row>
    <row r="17" spans="2:10" x14ac:dyDescent="0.2">
      <c r="E17" s="410" t="s">
        <v>809</v>
      </c>
      <c r="F17" s="410" t="s">
        <v>811</v>
      </c>
      <c r="G17" s="410">
        <v>1</v>
      </c>
      <c r="H17" s="411">
        <v>4.5</v>
      </c>
      <c r="I17" s="415">
        <v>6.0296659565060098E-3</v>
      </c>
      <c r="J17" s="412">
        <v>0.28125</v>
      </c>
    </row>
    <row r="18" spans="2:10" x14ac:dyDescent="0.2">
      <c r="E18" s="410" t="s">
        <v>812</v>
      </c>
      <c r="F18" s="410" t="s">
        <v>813</v>
      </c>
      <c r="G18" s="410">
        <v>1</v>
      </c>
      <c r="H18" s="411">
        <v>3</v>
      </c>
      <c r="I18" s="415">
        <v>4.0197773043373396E-3</v>
      </c>
      <c r="J18" s="412">
        <v>0.1875</v>
      </c>
    </row>
    <row r="19" spans="2:10" x14ac:dyDescent="0.2">
      <c r="E19" s="410" t="s">
        <v>814</v>
      </c>
      <c r="F19" s="410" t="s">
        <v>815</v>
      </c>
      <c r="G19" s="410">
        <v>1</v>
      </c>
      <c r="H19" s="411">
        <v>1.125</v>
      </c>
      <c r="I19" s="415">
        <v>1.5074164891265025E-3</v>
      </c>
      <c r="J19" s="412">
        <v>7.03125E-2</v>
      </c>
    </row>
    <row r="20" spans="2:10" x14ac:dyDescent="0.2">
      <c r="C20" s="410" t="s">
        <v>817</v>
      </c>
      <c r="D20" s="410" t="s">
        <v>807</v>
      </c>
      <c r="E20" s="410" t="s">
        <v>816</v>
      </c>
      <c r="F20" s="410" t="s">
        <v>818</v>
      </c>
      <c r="G20" s="410">
        <v>1</v>
      </c>
      <c r="H20" s="411">
        <v>5.75</v>
      </c>
      <c r="I20" s="415">
        <v>7.7045731666465682E-3</v>
      </c>
      <c r="J20" s="412">
        <v>0.359375</v>
      </c>
    </row>
    <row r="21" spans="2:10" x14ac:dyDescent="0.2">
      <c r="D21" s="410" t="s">
        <v>788</v>
      </c>
      <c r="E21" s="410" t="s">
        <v>819</v>
      </c>
      <c r="F21" s="410" t="s">
        <v>820</v>
      </c>
      <c r="G21" s="410">
        <v>1</v>
      </c>
      <c r="H21" s="411">
        <v>1.125</v>
      </c>
      <c r="I21" s="415">
        <v>1.5074164891265025E-3</v>
      </c>
      <c r="J21" s="412">
        <v>7.03125E-2</v>
      </c>
    </row>
    <row r="22" spans="2:10" x14ac:dyDescent="0.2">
      <c r="B22" s="229" t="s">
        <v>1249</v>
      </c>
      <c r="C22" s="229"/>
      <c r="D22" s="229"/>
      <c r="E22" s="229"/>
      <c r="F22" s="229"/>
      <c r="H22" s="411">
        <v>55.375</v>
      </c>
      <c r="I22" s="415">
        <v>7.4198389409226739E-2</v>
      </c>
      <c r="J22" s="412">
        <v>3.4609375</v>
      </c>
    </row>
    <row r="23" spans="2:10" x14ac:dyDescent="0.2">
      <c r="B23" s="410" t="s">
        <v>822</v>
      </c>
      <c r="C23" s="410" t="s">
        <v>805</v>
      </c>
      <c r="D23" s="410" t="s">
        <v>823</v>
      </c>
      <c r="E23" s="410" t="s">
        <v>821</v>
      </c>
      <c r="F23" s="410" t="s">
        <v>824</v>
      </c>
      <c r="G23" s="410">
        <v>1</v>
      </c>
      <c r="H23" s="411">
        <v>1.375</v>
      </c>
      <c r="I23" s="415">
        <v>1.8423979311546141E-3</v>
      </c>
      <c r="J23" s="412">
        <v>8.59375E-2</v>
      </c>
    </row>
    <row r="24" spans="2:10" x14ac:dyDescent="0.2">
      <c r="D24" s="410" t="s">
        <v>826</v>
      </c>
      <c r="E24" s="410" t="s">
        <v>825</v>
      </c>
      <c r="F24" s="410" t="s">
        <v>827</v>
      </c>
      <c r="G24" s="410">
        <v>1</v>
      </c>
      <c r="H24" s="411">
        <v>8.125</v>
      </c>
      <c r="I24" s="415">
        <v>1.0886896865913629E-2</v>
      </c>
      <c r="J24" s="412">
        <v>0.5078125</v>
      </c>
    </row>
    <row r="25" spans="2:10" x14ac:dyDescent="0.2">
      <c r="E25" s="410" t="s">
        <v>828</v>
      </c>
      <c r="F25" s="410" t="s">
        <v>829</v>
      </c>
      <c r="G25" s="410">
        <v>1</v>
      </c>
      <c r="H25" s="411">
        <v>10.5</v>
      </c>
      <c r="I25" s="415">
        <v>1.4069220565180691E-2</v>
      </c>
      <c r="J25" s="412">
        <v>0.65625</v>
      </c>
    </row>
    <row r="26" spans="2:10" x14ac:dyDescent="0.2">
      <c r="E26" s="410" t="s">
        <v>830</v>
      </c>
      <c r="F26" s="410" t="s">
        <v>831</v>
      </c>
      <c r="G26" s="410">
        <v>1</v>
      </c>
      <c r="H26" s="411">
        <v>2.75</v>
      </c>
      <c r="I26" s="415">
        <v>3.6847958623092282E-3</v>
      </c>
      <c r="J26" s="412">
        <v>0.171875</v>
      </c>
    </row>
    <row r="27" spans="2:10" x14ac:dyDescent="0.2">
      <c r="E27" s="410" t="s">
        <v>832</v>
      </c>
      <c r="F27" s="410" t="s">
        <v>833</v>
      </c>
      <c r="G27" s="410">
        <v>1</v>
      </c>
      <c r="H27" s="411">
        <v>2.375</v>
      </c>
      <c r="I27" s="415">
        <v>3.1823236992670608E-3</v>
      </c>
      <c r="J27" s="412">
        <v>0.1484375</v>
      </c>
    </row>
    <row r="28" spans="2:10" x14ac:dyDescent="0.2">
      <c r="E28" s="410" t="s">
        <v>834</v>
      </c>
      <c r="F28" s="410" t="s">
        <v>835</v>
      </c>
      <c r="G28" s="410">
        <v>1</v>
      </c>
      <c r="H28" s="411">
        <v>2.625</v>
      </c>
      <c r="I28" s="415">
        <v>3.5173051412951727E-3</v>
      </c>
      <c r="J28" s="412">
        <v>0.1640625</v>
      </c>
    </row>
    <row r="29" spans="2:10" x14ac:dyDescent="0.2">
      <c r="E29" s="410" t="s">
        <v>836</v>
      </c>
      <c r="F29" s="410" t="s">
        <v>837</v>
      </c>
      <c r="G29" s="410">
        <v>1</v>
      </c>
      <c r="H29" s="411">
        <v>1.125</v>
      </c>
      <c r="I29" s="415">
        <v>1.5074164891265025E-3</v>
      </c>
      <c r="J29" s="412">
        <v>7.03125E-2</v>
      </c>
    </row>
    <row r="30" spans="2:10" x14ac:dyDescent="0.2">
      <c r="E30" s="410" t="s">
        <v>838</v>
      </c>
      <c r="F30" s="410" t="s">
        <v>839</v>
      </c>
      <c r="G30" s="410">
        <v>1</v>
      </c>
      <c r="H30" s="411">
        <v>2.25</v>
      </c>
      <c r="I30" s="415">
        <v>3.0148329782530049E-3</v>
      </c>
      <c r="J30" s="412">
        <v>0.140625</v>
      </c>
    </row>
    <row r="31" spans="2:10" x14ac:dyDescent="0.2">
      <c r="C31" s="410" t="s">
        <v>817</v>
      </c>
      <c r="D31" s="410" t="s">
        <v>826</v>
      </c>
      <c r="E31" s="410" t="s">
        <v>840</v>
      </c>
      <c r="F31" s="410" t="s">
        <v>841</v>
      </c>
      <c r="G31" s="410">
        <v>1</v>
      </c>
      <c r="H31" s="411">
        <v>0.75</v>
      </c>
      <c r="I31" s="415">
        <v>1.0049443260843349E-3</v>
      </c>
      <c r="J31" s="412">
        <v>4.6875E-2</v>
      </c>
    </row>
    <row r="32" spans="2:10" x14ac:dyDescent="0.2">
      <c r="E32" s="410" t="s">
        <v>842</v>
      </c>
      <c r="F32" s="410" t="s">
        <v>843</v>
      </c>
      <c r="G32" s="410">
        <v>1</v>
      </c>
      <c r="H32" s="411">
        <v>2.625</v>
      </c>
      <c r="I32" s="415">
        <v>3.5173051412951727E-3</v>
      </c>
      <c r="J32" s="412">
        <v>0.1640625</v>
      </c>
    </row>
    <row r="33" spans="2:10" x14ac:dyDescent="0.2">
      <c r="B33" s="229" t="s">
        <v>1250</v>
      </c>
      <c r="C33" s="229"/>
      <c r="D33" s="229"/>
      <c r="E33" s="229"/>
      <c r="F33" s="229"/>
      <c r="H33" s="411">
        <v>34.5</v>
      </c>
      <c r="I33" s="415">
        <v>4.6227438999879411E-2</v>
      </c>
      <c r="J33" s="412">
        <v>2.15625</v>
      </c>
    </row>
    <row r="34" spans="2:10" x14ac:dyDescent="0.2">
      <c r="B34" s="410" t="s">
        <v>845</v>
      </c>
      <c r="C34" s="410" t="s">
        <v>516</v>
      </c>
      <c r="D34" s="410" t="s">
        <v>846</v>
      </c>
      <c r="E34" s="410" t="s">
        <v>844</v>
      </c>
      <c r="F34" s="410" t="s">
        <v>847</v>
      </c>
      <c r="G34" s="410">
        <v>1</v>
      </c>
      <c r="H34" s="411">
        <v>6.125</v>
      </c>
      <c r="I34" s="415">
        <v>8.207045329688736E-3</v>
      </c>
      <c r="J34" s="412">
        <v>0.3828125</v>
      </c>
    </row>
    <row r="35" spans="2:10" x14ac:dyDescent="0.2">
      <c r="D35" s="410" t="s">
        <v>807</v>
      </c>
      <c r="E35" s="410" t="s">
        <v>848</v>
      </c>
      <c r="F35" s="410" t="s">
        <v>850</v>
      </c>
      <c r="G35" s="410">
        <v>1</v>
      </c>
      <c r="H35" s="411">
        <v>1</v>
      </c>
      <c r="I35" s="415">
        <v>1.3399257681124468E-3</v>
      </c>
      <c r="J35" s="412">
        <v>6.25E-2</v>
      </c>
    </row>
    <row r="36" spans="2:10" x14ac:dyDescent="0.2">
      <c r="D36" s="410" t="s">
        <v>823</v>
      </c>
      <c r="E36" s="410" t="s">
        <v>851</v>
      </c>
      <c r="F36" s="410" t="s">
        <v>853</v>
      </c>
      <c r="G36" s="410">
        <v>1</v>
      </c>
      <c r="H36" s="411">
        <v>5.75</v>
      </c>
      <c r="I36" s="415">
        <v>7.7045731666465682E-3</v>
      </c>
      <c r="J36" s="412">
        <v>0.359375</v>
      </c>
    </row>
    <row r="37" spans="2:10" x14ac:dyDescent="0.2">
      <c r="E37" s="410" t="s">
        <v>859</v>
      </c>
      <c r="F37" s="410" t="s">
        <v>860</v>
      </c>
      <c r="G37" s="410">
        <v>1</v>
      </c>
      <c r="H37" s="411">
        <v>5</v>
      </c>
      <c r="I37" s="415">
        <v>6.6996288405622335E-3</v>
      </c>
      <c r="J37" s="412">
        <v>0.3125</v>
      </c>
    </row>
    <row r="38" spans="2:10" x14ac:dyDescent="0.2">
      <c r="E38" s="410" t="s">
        <v>856</v>
      </c>
      <c r="F38" s="410" t="s">
        <v>858</v>
      </c>
      <c r="G38" s="410">
        <v>1</v>
      </c>
      <c r="H38" s="411">
        <v>9.125</v>
      </c>
      <c r="I38" s="415">
        <v>1.2226822634026076E-2</v>
      </c>
      <c r="J38" s="412">
        <v>0.5703125</v>
      </c>
    </row>
    <row r="39" spans="2:10" x14ac:dyDescent="0.2">
      <c r="E39" s="410" t="s">
        <v>854</v>
      </c>
      <c r="F39" s="410" t="s">
        <v>855</v>
      </c>
      <c r="G39" s="410">
        <v>1</v>
      </c>
      <c r="H39" s="411">
        <v>6</v>
      </c>
      <c r="I39" s="415">
        <v>8.0395546086746792E-3</v>
      </c>
      <c r="J39" s="412">
        <v>0.375</v>
      </c>
    </row>
    <row r="40" spans="2:10" x14ac:dyDescent="0.2">
      <c r="B40" s="229" t="s">
        <v>1251</v>
      </c>
      <c r="C40" s="229"/>
      <c r="D40" s="229"/>
      <c r="E40" s="229"/>
      <c r="F40" s="229"/>
      <c r="H40" s="411">
        <v>33</v>
      </c>
      <c r="I40" s="415">
        <v>4.4217550347710743E-2</v>
      </c>
      <c r="J40" s="412">
        <v>2.0625</v>
      </c>
    </row>
    <row r="41" spans="2:10" x14ac:dyDescent="0.2">
      <c r="B41" s="410" t="s">
        <v>862</v>
      </c>
      <c r="C41" s="410" t="s">
        <v>817</v>
      </c>
      <c r="D41" s="410" t="s">
        <v>826</v>
      </c>
      <c r="E41" s="410" t="s">
        <v>861</v>
      </c>
      <c r="F41" s="410" t="s">
        <v>863</v>
      </c>
      <c r="G41" s="410">
        <v>1</v>
      </c>
      <c r="H41" s="411">
        <v>41</v>
      </c>
      <c r="I41" s="415">
        <v>5.4936956492610316E-2</v>
      </c>
      <c r="J41" s="412">
        <v>2.5625</v>
      </c>
    </row>
    <row r="42" spans="2:10" x14ac:dyDescent="0.2">
      <c r="E42" s="410" t="s">
        <v>864</v>
      </c>
      <c r="F42" s="410" t="s">
        <v>865</v>
      </c>
      <c r="G42" s="410">
        <v>1</v>
      </c>
      <c r="H42" s="411">
        <v>18</v>
      </c>
      <c r="I42" s="415">
        <v>2.4118663826024039E-2</v>
      </c>
      <c r="J42" s="412">
        <v>1.125</v>
      </c>
    </row>
    <row r="43" spans="2:10" x14ac:dyDescent="0.2">
      <c r="B43" s="229" t="s">
        <v>1252</v>
      </c>
      <c r="C43" s="229"/>
      <c r="D43" s="229"/>
      <c r="E43" s="229"/>
      <c r="F43" s="229"/>
      <c r="H43" s="411">
        <v>59</v>
      </c>
      <c r="I43" s="415">
        <v>7.9055620318634348E-2</v>
      </c>
      <c r="J43" s="412">
        <v>3.6875</v>
      </c>
    </row>
    <row r="44" spans="2:10" x14ac:dyDescent="0.2">
      <c r="B44" s="410" t="s">
        <v>867</v>
      </c>
      <c r="C44" s="410" t="s">
        <v>516</v>
      </c>
      <c r="D44" s="410" t="s">
        <v>868</v>
      </c>
      <c r="E44" s="410" t="s">
        <v>866</v>
      </c>
      <c r="F44" s="410" t="s">
        <v>869</v>
      </c>
      <c r="G44" s="410">
        <v>1</v>
      </c>
      <c r="H44" s="411">
        <v>2.75</v>
      </c>
      <c r="I44" s="415">
        <v>3.6847958623092282E-3</v>
      </c>
      <c r="J44" s="412">
        <v>0.171875</v>
      </c>
    </row>
    <row r="45" spans="2:10" x14ac:dyDescent="0.2">
      <c r="D45" s="410" t="s">
        <v>823</v>
      </c>
      <c r="E45" s="410" t="s">
        <v>620</v>
      </c>
      <c r="F45" s="410" t="s">
        <v>620</v>
      </c>
      <c r="G45" s="410">
        <v>1</v>
      </c>
      <c r="H45" s="411">
        <v>0.125</v>
      </c>
      <c r="I45" s="415">
        <v>1.6749072101405584E-4</v>
      </c>
      <c r="J45" s="412">
        <v>7.8125E-3</v>
      </c>
    </row>
    <row r="46" spans="2:10" x14ac:dyDescent="0.2">
      <c r="E46" s="410" t="s">
        <v>872</v>
      </c>
      <c r="F46" s="410" t="s">
        <v>872</v>
      </c>
      <c r="G46" s="410">
        <v>1</v>
      </c>
      <c r="H46" s="411">
        <v>1.875</v>
      </c>
      <c r="I46" s="415">
        <v>2.5123608152108376E-3</v>
      </c>
      <c r="J46" s="412">
        <v>0.1171875</v>
      </c>
    </row>
    <row r="47" spans="2:10" x14ac:dyDescent="0.2">
      <c r="E47" s="410" t="s">
        <v>564</v>
      </c>
      <c r="F47" s="410" t="s">
        <v>564</v>
      </c>
      <c r="G47" s="410">
        <v>1</v>
      </c>
      <c r="H47" s="411">
        <v>1.375</v>
      </c>
      <c r="I47" s="415">
        <v>1.8423979311546141E-3</v>
      </c>
      <c r="J47" s="412">
        <v>8.59375E-2</v>
      </c>
    </row>
    <row r="48" spans="2:10" x14ac:dyDescent="0.2">
      <c r="E48" s="410" t="s">
        <v>873</v>
      </c>
      <c r="F48" s="410" t="s">
        <v>874</v>
      </c>
      <c r="G48" s="410">
        <v>1</v>
      </c>
      <c r="H48" s="411">
        <v>0.5</v>
      </c>
      <c r="I48" s="415">
        <v>6.6996288405622338E-4</v>
      </c>
      <c r="J48" s="412">
        <v>3.125E-2</v>
      </c>
    </row>
    <row r="49" spans="2:10" x14ac:dyDescent="0.2">
      <c r="E49" s="410" t="s">
        <v>875</v>
      </c>
      <c r="F49" s="410" t="s">
        <v>876</v>
      </c>
      <c r="G49" s="410">
        <v>1</v>
      </c>
      <c r="H49" s="411">
        <v>1</v>
      </c>
      <c r="I49" s="415">
        <v>1.3399257681124468E-3</v>
      </c>
      <c r="J49" s="412">
        <v>6.25E-2</v>
      </c>
    </row>
    <row r="50" spans="2:10" x14ac:dyDescent="0.2">
      <c r="B50" s="229" t="s">
        <v>1253</v>
      </c>
      <c r="C50" s="229"/>
      <c r="D50" s="229"/>
      <c r="E50" s="229"/>
      <c r="F50" s="229"/>
      <c r="H50" s="411">
        <v>7.625</v>
      </c>
      <c r="I50" s="415">
        <v>1.0216933981857405E-2</v>
      </c>
      <c r="J50" s="412">
        <v>0.4765625</v>
      </c>
    </row>
    <row r="51" spans="2:10" x14ac:dyDescent="0.2">
      <c r="B51" s="410" t="s">
        <v>878</v>
      </c>
      <c r="C51" s="410" t="s">
        <v>516</v>
      </c>
      <c r="D51" s="410" t="s">
        <v>784</v>
      </c>
      <c r="E51" s="410" t="s">
        <v>877</v>
      </c>
      <c r="F51" s="410" t="s">
        <v>879</v>
      </c>
      <c r="G51" s="410">
        <v>2</v>
      </c>
      <c r="H51" s="411">
        <v>70.56</v>
      </c>
      <c r="I51" s="415">
        <v>9.4545162198014246E-2</v>
      </c>
      <c r="J51" s="412">
        <v>4.41</v>
      </c>
    </row>
    <row r="52" spans="2:10" x14ac:dyDescent="0.2">
      <c r="D52" s="410" t="s">
        <v>807</v>
      </c>
      <c r="E52" s="410" t="s">
        <v>555</v>
      </c>
      <c r="F52" s="410" t="s">
        <v>880</v>
      </c>
      <c r="G52" s="410">
        <v>1</v>
      </c>
      <c r="H52" s="411">
        <v>208</v>
      </c>
      <c r="I52" s="415">
        <v>0.27870455976738889</v>
      </c>
      <c r="J52" s="412">
        <v>13</v>
      </c>
    </row>
    <row r="53" spans="2:10" x14ac:dyDescent="0.2">
      <c r="E53" s="410" t="s">
        <v>881</v>
      </c>
      <c r="F53" s="410" t="s">
        <v>882</v>
      </c>
      <c r="G53" s="410">
        <v>1</v>
      </c>
      <c r="H53" s="411">
        <v>13.375</v>
      </c>
      <c r="I53" s="415">
        <v>1.7921507148503973E-2</v>
      </c>
      <c r="J53" s="412">
        <v>0.8359375</v>
      </c>
    </row>
    <row r="54" spans="2:10" x14ac:dyDescent="0.2">
      <c r="B54" s="410" t="s">
        <v>1254</v>
      </c>
      <c r="F54" s="410"/>
      <c r="G54" s="410"/>
      <c r="H54" s="411">
        <v>291.935</v>
      </c>
      <c r="I54" s="415">
        <v>0.39117122911390712</v>
      </c>
      <c r="J54" s="412">
        <v>18.2459375</v>
      </c>
    </row>
    <row r="55" spans="2:10" x14ac:dyDescent="0.2">
      <c r="B55" s="410" t="s">
        <v>562</v>
      </c>
      <c r="C55" s="410" t="s">
        <v>817</v>
      </c>
      <c r="D55" s="410" t="s">
        <v>823</v>
      </c>
      <c r="E55" s="410" t="s">
        <v>883</v>
      </c>
      <c r="F55" s="410" t="s">
        <v>884</v>
      </c>
      <c r="G55" s="410">
        <v>1</v>
      </c>
      <c r="H55" s="411">
        <v>0.875</v>
      </c>
      <c r="I55" s="415">
        <v>1.1724350470983908E-3</v>
      </c>
      <c r="J55" s="412">
        <v>5.46875E-2</v>
      </c>
    </row>
    <row r="56" spans="2:10" x14ac:dyDescent="0.2">
      <c r="C56" s="410" t="s">
        <v>516</v>
      </c>
      <c r="D56" s="410" t="s">
        <v>784</v>
      </c>
      <c r="E56" s="410" t="s">
        <v>885</v>
      </c>
      <c r="F56" s="410" t="s">
        <v>886</v>
      </c>
      <c r="G56" s="410">
        <v>1</v>
      </c>
      <c r="H56" s="411">
        <v>4.625</v>
      </c>
      <c r="I56" s="415">
        <v>6.1971566775200658E-3</v>
      </c>
      <c r="J56" s="412">
        <v>0.2890625</v>
      </c>
    </row>
    <row r="57" spans="2:10" x14ac:dyDescent="0.2">
      <c r="E57" s="410" t="s">
        <v>887</v>
      </c>
      <c r="F57" s="410" t="s">
        <v>888</v>
      </c>
      <c r="G57" s="410">
        <v>1</v>
      </c>
      <c r="H57" s="411">
        <v>1.125</v>
      </c>
      <c r="I57" s="415">
        <v>1.5074164891265025E-3</v>
      </c>
      <c r="J57" s="412">
        <v>7.03125E-2</v>
      </c>
    </row>
    <row r="58" spans="2:10" x14ac:dyDescent="0.2">
      <c r="E58" s="410" t="s">
        <v>889</v>
      </c>
      <c r="F58" s="410" t="s">
        <v>888</v>
      </c>
      <c r="G58" s="410">
        <v>1</v>
      </c>
      <c r="H58" s="411">
        <v>1.125</v>
      </c>
      <c r="I58" s="415">
        <v>1.5074164891265025E-3</v>
      </c>
      <c r="J58" s="412">
        <v>7.03125E-2</v>
      </c>
    </row>
    <row r="59" spans="2:10" x14ac:dyDescent="0.2">
      <c r="E59" s="410" t="s">
        <v>890</v>
      </c>
      <c r="F59" s="410" t="s">
        <v>891</v>
      </c>
      <c r="G59" s="410">
        <v>1</v>
      </c>
      <c r="H59" s="411">
        <v>0.5</v>
      </c>
      <c r="I59" s="415">
        <v>6.6996288405622338E-4</v>
      </c>
      <c r="J59" s="412">
        <v>3.125E-2</v>
      </c>
    </row>
    <row r="60" spans="2:10" x14ac:dyDescent="0.2">
      <c r="E60" s="410" t="s">
        <v>892</v>
      </c>
      <c r="F60" s="410" t="s">
        <v>893</v>
      </c>
      <c r="G60" s="410">
        <v>1</v>
      </c>
      <c r="H60" s="411">
        <v>0.5</v>
      </c>
      <c r="I60" s="415">
        <v>6.6996288405622338E-4</v>
      </c>
      <c r="J60" s="412">
        <v>3.125E-2</v>
      </c>
    </row>
    <row r="61" spans="2:10" x14ac:dyDescent="0.2">
      <c r="D61" s="410" t="s">
        <v>868</v>
      </c>
      <c r="E61" s="410" t="s">
        <v>894</v>
      </c>
      <c r="F61" s="410" t="s">
        <v>895</v>
      </c>
      <c r="G61" s="410">
        <v>1</v>
      </c>
      <c r="H61" s="411">
        <v>2</v>
      </c>
      <c r="I61" s="415">
        <v>2.6798515362248935E-3</v>
      </c>
      <c r="J61" s="412">
        <v>0.125</v>
      </c>
    </row>
    <row r="62" spans="2:10" x14ac:dyDescent="0.2">
      <c r="D62" s="410" t="s">
        <v>807</v>
      </c>
      <c r="E62" s="410" t="s">
        <v>896</v>
      </c>
      <c r="F62" s="410" t="s">
        <v>897</v>
      </c>
      <c r="G62" s="410">
        <v>1</v>
      </c>
      <c r="H62" s="411">
        <v>33</v>
      </c>
      <c r="I62" s="415">
        <v>4.4217550347710743E-2</v>
      </c>
      <c r="J62" s="412">
        <v>2.0625</v>
      </c>
    </row>
    <row r="63" spans="2:10" x14ac:dyDescent="0.2">
      <c r="E63" s="410" t="s">
        <v>898</v>
      </c>
      <c r="F63" s="410" t="s">
        <v>899</v>
      </c>
      <c r="G63" s="410">
        <v>1</v>
      </c>
      <c r="H63" s="411">
        <v>2.875</v>
      </c>
      <c r="I63" s="415">
        <v>3.8522865833232841E-3</v>
      </c>
      <c r="J63" s="412">
        <v>0.1796875</v>
      </c>
    </row>
    <row r="64" spans="2:10" x14ac:dyDescent="0.2">
      <c r="E64" s="410" t="s">
        <v>900</v>
      </c>
      <c r="F64" s="410" t="s">
        <v>901</v>
      </c>
      <c r="G64" s="410">
        <v>1</v>
      </c>
      <c r="H64" s="411">
        <v>0.75</v>
      </c>
      <c r="I64" s="415">
        <v>1.0049443260843349E-3</v>
      </c>
      <c r="J64" s="412">
        <v>4.6875E-2</v>
      </c>
    </row>
    <row r="65" spans="2:10" x14ac:dyDescent="0.2">
      <c r="E65" s="410" t="s">
        <v>902</v>
      </c>
      <c r="F65" s="410" t="s">
        <v>903</v>
      </c>
      <c r="G65" s="410">
        <v>1</v>
      </c>
      <c r="H65" s="411">
        <v>0.75</v>
      </c>
      <c r="I65" s="415">
        <v>1.0049443260843349E-3</v>
      </c>
      <c r="J65" s="412">
        <v>4.6875E-2</v>
      </c>
    </row>
    <row r="66" spans="2:10" x14ac:dyDescent="0.2">
      <c r="E66" s="410" t="s">
        <v>904</v>
      </c>
      <c r="F66" s="410" t="s">
        <v>905</v>
      </c>
      <c r="G66" s="410">
        <v>1</v>
      </c>
      <c r="H66" s="411">
        <v>0.875</v>
      </c>
      <c r="I66" s="415">
        <v>1.1724350470983908E-3</v>
      </c>
      <c r="J66" s="412">
        <v>5.46875E-2</v>
      </c>
    </row>
    <row r="67" spans="2:10" x14ac:dyDescent="0.2">
      <c r="E67" s="410" t="s">
        <v>906</v>
      </c>
      <c r="F67" s="410" t="s">
        <v>907</v>
      </c>
      <c r="G67" s="410">
        <v>1</v>
      </c>
      <c r="H67" s="411">
        <v>1.5</v>
      </c>
      <c r="I67" s="415">
        <v>2.0098886521686698E-3</v>
      </c>
      <c r="J67" s="412">
        <v>9.375E-2</v>
      </c>
    </row>
    <row r="68" spans="2:10" x14ac:dyDescent="0.2">
      <c r="E68" s="410" t="s">
        <v>908</v>
      </c>
      <c r="F68" s="410" t="s">
        <v>909</v>
      </c>
      <c r="G68" s="410">
        <v>1</v>
      </c>
      <c r="H68" s="411">
        <v>1.5</v>
      </c>
      <c r="I68" s="415">
        <v>2.0098886521686698E-3</v>
      </c>
      <c r="J68" s="412">
        <v>9.375E-2</v>
      </c>
    </row>
    <row r="69" spans="2:10" x14ac:dyDescent="0.2">
      <c r="D69" s="410" t="s">
        <v>823</v>
      </c>
      <c r="E69" s="410" t="s">
        <v>910</v>
      </c>
      <c r="F69" s="410" t="s">
        <v>911</v>
      </c>
      <c r="G69" s="410">
        <v>1</v>
      </c>
      <c r="H69" s="411">
        <v>3.5</v>
      </c>
      <c r="I69" s="415">
        <v>4.6897401883935633E-3</v>
      </c>
      <c r="J69" s="412">
        <v>0.21875</v>
      </c>
    </row>
    <row r="70" spans="2:10" x14ac:dyDescent="0.2">
      <c r="E70" s="410" t="s">
        <v>912</v>
      </c>
      <c r="F70" s="410" t="s">
        <v>913</v>
      </c>
      <c r="G70" s="410">
        <v>1</v>
      </c>
      <c r="H70" s="411">
        <v>0.625</v>
      </c>
      <c r="I70" s="415">
        <v>8.3745360507027919E-4</v>
      </c>
      <c r="J70" s="412">
        <v>3.90625E-2</v>
      </c>
    </row>
    <row r="71" spans="2:10" x14ac:dyDescent="0.2">
      <c r="B71" s="229" t="s">
        <v>1255</v>
      </c>
      <c r="C71" s="229"/>
      <c r="D71" s="229"/>
      <c r="E71" s="229"/>
      <c r="F71" s="229"/>
      <c r="H71" s="411">
        <v>56.125</v>
      </c>
      <c r="I71" s="415">
        <v>7.5203333735311073E-2</v>
      </c>
      <c r="J71" s="412">
        <v>3.5078125</v>
      </c>
    </row>
    <row r="72" spans="2:10" x14ac:dyDescent="0.2">
      <c r="B72" s="410" t="s">
        <v>915</v>
      </c>
      <c r="C72" s="410" t="s">
        <v>516</v>
      </c>
      <c r="D72" s="410" t="s">
        <v>784</v>
      </c>
      <c r="E72" s="410" t="s">
        <v>914</v>
      </c>
      <c r="F72" s="410" t="s">
        <v>916</v>
      </c>
      <c r="G72" s="410">
        <v>1</v>
      </c>
      <c r="H72" s="411">
        <v>0.875</v>
      </c>
      <c r="I72" s="415">
        <v>1.1724350470983908E-3</v>
      </c>
      <c r="J72" s="412">
        <v>5.46875E-2</v>
      </c>
    </row>
    <row r="73" spans="2:10" x14ac:dyDescent="0.2">
      <c r="D73" s="410" t="s">
        <v>846</v>
      </c>
      <c r="E73" s="410" t="s">
        <v>917</v>
      </c>
      <c r="F73" s="410" t="s">
        <v>918</v>
      </c>
      <c r="G73" s="410">
        <v>1</v>
      </c>
      <c r="H73" s="411">
        <v>0.375</v>
      </c>
      <c r="I73" s="415">
        <v>5.0247216304216745E-4</v>
      </c>
      <c r="J73" s="412">
        <v>2.34375E-2</v>
      </c>
    </row>
    <row r="74" spans="2:10" x14ac:dyDescent="0.2">
      <c r="E74" s="410" t="s">
        <v>919</v>
      </c>
      <c r="F74" s="410" t="s">
        <v>920</v>
      </c>
      <c r="G74" s="410">
        <v>1</v>
      </c>
      <c r="H74" s="411">
        <v>2.25</v>
      </c>
      <c r="I74" s="415">
        <v>3.0148329782530049E-3</v>
      </c>
      <c r="J74" s="412">
        <v>0.140625</v>
      </c>
    </row>
    <row r="75" spans="2:10" x14ac:dyDescent="0.2">
      <c r="E75" s="410" t="s">
        <v>921</v>
      </c>
      <c r="F75" s="410" t="s">
        <v>922</v>
      </c>
      <c r="G75" s="410">
        <v>1</v>
      </c>
      <c r="H75" s="411">
        <v>0.25</v>
      </c>
      <c r="I75" s="415">
        <v>3.3498144202811169E-4</v>
      </c>
      <c r="J75" s="412">
        <v>1.5625E-2</v>
      </c>
    </row>
    <row r="76" spans="2:10" x14ac:dyDescent="0.2">
      <c r="D76" s="410" t="s">
        <v>807</v>
      </c>
      <c r="E76" s="410" t="s">
        <v>929</v>
      </c>
      <c r="F76" s="410" t="s">
        <v>929</v>
      </c>
      <c r="G76" s="410">
        <v>1</v>
      </c>
      <c r="H76" s="411">
        <v>0.375</v>
      </c>
      <c r="I76" s="415">
        <v>5.0247216304216745E-4</v>
      </c>
      <c r="J76" s="412">
        <v>2.34375E-2</v>
      </c>
    </row>
    <row r="77" spans="2:10" x14ac:dyDescent="0.2">
      <c r="E77" s="410" t="s">
        <v>923</v>
      </c>
      <c r="F77" s="410" t="s">
        <v>925</v>
      </c>
      <c r="G77" s="410">
        <v>1</v>
      </c>
      <c r="H77" s="411">
        <v>0.125</v>
      </c>
      <c r="I77" s="415">
        <v>1.6749072101405584E-4</v>
      </c>
      <c r="J77" s="412">
        <v>7.8125E-3</v>
      </c>
    </row>
    <row r="78" spans="2:10" x14ac:dyDescent="0.2">
      <c r="E78" s="410" t="s">
        <v>926</v>
      </c>
      <c r="F78" s="410" t="s">
        <v>927</v>
      </c>
      <c r="G78" s="410">
        <v>1</v>
      </c>
      <c r="H78" s="411">
        <v>0.625</v>
      </c>
      <c r="I78" s="415">
        <v>8.3745360507027919E-4</v>
      </c>
      <c r="J78" s="412">
        <v>3.90625E-2</v>
      </c>
    </row>
    <row r="79" spans="2:10" x14ac:dyDescent="0.2">
      <c r="E79" s="410" t="s">
        <v>931</v>
      </c>
      <c r="F79" s="410" t="s">
        <v>932</v>
      </c>
      <c r="G79" s="410">
        <v>1</v>
      </c>
      <c r="H79" s="411">
        <v>1</v>
      </c>
      <c r="I79" s="415">
        <v>1.3399257681124468E-3</v>
      </c>
      <c r="J79" s="412">
        <v>6.25E-2</v>
      </c>
    </row>
    <row r="80" spans="2:10" x14ac:dyDescent="0.2">
      <c r="E80" s="410" t="s">
        <v>935</v>
      </c>
      <c r="F80" s="410" t="s">
        <v>937</v>
      </c>
      <c r="G80" s="410">
        <v>1</v>
      </c>
      <c r="H80" s="411">
        <v>2.625</v>
      </c>
      <c r="I80" s="415">
        <v>3.5173051412951727E-3</v>
      </c>
      <c r="J80" s="412">
        <v>0.1640625</v>
      </c>
    </row>
    <row r="81" spans="2:10" x14ac:dyDescent="0.2">
      <c r="E81" s="410" t="s">
        <v>928</v>
      </c>
      <c r="F81" s="410" t="s">
        <v>928</v>
      </c>
      <c r="G81" s="410">
        <v>1</v>
      </c>
      <c r="H81" s="411">
        <v>0.875</v>
      </c>
      <c r="I81" s="415">
        <v>1.1724350470983908E-3</v>
      </c>
      <c r="J81" s="412">
        <v>5.46875E-2</v>
      </c>
    </row>
    <row r="82" spans="2:10" x14ac:dyDescent="0.2">
      <c r="E82" s="410" t="s">
        <v>938</v>
      </c>
      <c r="F82" s="410" t="s">
        <v>940</v>
      </c>
      <c r="G82" s="410">
        <v>1</v>
      </c>
      <c r="H82" s="411">
        <v>6.625</v>
      </c>
      <c r="I82" s="415">
        <v>8.8770082137449597E-3</v>
      </c>
      <c r="J82" s="412">
        <v>0.4140625</v>
      </c>
    </row>
    <row r="83" spans="2:10" x14ac:dyDescent="0.2">
      <c r="E83" s="410" t="s">
        <v>933</v>
      </c>
      <c r="F83" s="410" t="s">
        <v>933</v>
      </c>
      <c r="G83" s="410">
        <v>1</v>
      </c>
      <c r="H83" s="411">
        <v>0.625</v>
      </c>
      <c r="I83" s="415">
        <v>8.3745360507027919E-4</v>
      </c>
      <c r="J83" s="412">
        <v>3.90625E-2</v>
      </c>
    </row>
    <row r="84" spans="2:10" x14ac:dyDescent="0.2">
      <c r="E84" s="410" t="s">
        <v>934</v>
      </c>
      <c r="F84" s="410" t="s">
        <v>934</v>
      </c>
      <c r="G84" s="410">
        <v>1</v>
      </c>
      <c r="H84" s="411">
        <v>1.125</v>
      </c>
      <c r="I84" s="415">
        <v>1.5074164891265025E-3</v>
      </c>
      <c r="J84" s="412">
        <v>7.03125E-2</v>
      </c>
    </row>
    <row r="85" spans="2:10" x14ac:dyDescent="0.2">
      <c r="E85" s="410" t="s">
        <v>944</v>
      </c>
      <c r="F85" s="410" t="s">
        <v>945</v>
      </c>
      <c r="G85" s="410">
        <v>1</v>
      </c>
      <c r="H85" s="411">
        <v>1.375</v>
      </c>
      <c r="I85" s="415">
        <v>1.8423979311546141E-3</v>
      </c>
      <c r="J85" s="412">
        <v>8.59375E-2</v>
      </c>
    </row>
    <row r="86" spans="2:10" x14ac:dyDescent="0.2">
      <c r="E86" s="410" t="s">
        <v>723</v>
      </c>
      <c r="F86" s="410" t="s">
        <v>946</v>
      </c>
      <c r="G86" s="410">
        <v>1</v>
      </c>
      <c r="H86" s="411">
        <v>2.25</v>
      </c>
      <c r="I86" s="415">
        <v>3.0148329782530049E-3</v>
      </c>
      <c r="J86" s="412">
        <v>0.140625</v>
      </c>
    </row>
    <row r="87" spans="2:10" x14ac:dyDescent="0.2">
      <c r="E87" s="410" t="s">
        <v>941</v>
      </c>
      <c r="F87" s="410" t="s">
        <v>943</v>
      </c>
      <c r="G87" s="410">
        <v>1</v>
      </c>
      <c r="H87" s="411">
        <v>5.375</v>
      </c>
      <c r="I87" s="415">
        <v>7.2021010036044004E-3</v>
      </c>
      <c r="J87" s="412">
        <v>0.3359375</v>
      </c>
    </row>
    <row r="88" spans="2:10" x14ac:dyDescent="0.2">
      <c r="D88" s="410" t="s">
        <v>823</v>
      </c>
      <c r="E88" s="410" t="s">
        <v>947</v>
      </c>
      <c r="F88" s="410" t="s">
        <v>948</v>
      </c>
      <c r="G88" s="410">
        <v>1</v>
      </c>
      <c r="H88" s="411">
        <v>1.125</v>
      </c>
      <c r="I88" s="415">
        <v>1.5074164891265025E-3</v>
      </c>
      <c r="J88" s="412">
        <v>7.03125E-2</v>
      </c>
    </row>
    <row r="89" spans="2:10" x14ac:dyDescent="0.2">
      <c r="E89" s="410" t="s">
        <v>949</v>
      </c>
      <c r="F89" s="410" t="s">
        <v>949</v>
      </c>
      <c r="G89" s="410">
        <v>1</v>
      </c>
      <c r="H89" s="411">
        <v>2.5</v>
      </c>
      <c r="I89" s="415">
        <v>3.3498144202811168E-3</v>
      </c>
      <c r="J89" s="412">
        <v>0.15625</v>
      </c>
    </row>
    <row r="90" spans="2:10" x14ac:dyDescent="0.2">
      <c r="E90" s="410" t="s">
        <v>950</v>
      </c>
      <c r="F90" s="410" t="s">
        <v>951</v>
      </c>
      <c r="G90" s="410">
        <v>1</v>
      </c>
      <c r="H90" s="411">
        <v>2.625</v>
      </c>
      <c r="I90" s="415">
        <v>3.5173051412951727E-3</v>
      </c>
      <c r="J90" s="412">
        <v>0.1640625</v>
      </c>
    </row>
    <row r="91" spans="2:10" x14ac:dyDescent="0.2">
      <c r="B91" s="229" t="s">
        <v>1256</v>
      </c>
      <c r="C91" s="229"/>
      <c r="D91" s="229"/>
      <c r="E91" s="229"/>
      <c r="F91" s="229"/>
      <c r="H91" s="411">
        <v>33</v>
      </c>
      <c r="I91" s="415">
        <v>4.4217550347710743E-2</v>
      </c>
      <c r="J91" s="412">
        <v>2.0625</v>
      </c>
    </row>
    <row r="92" spans="2:10" x14ac:dyDescent="0.2">
      <c r="B92" s="410" t="s">
        <v>607</v>
      </c>
      <c r="C92" s="410" t="s">
        <v>516</v>
      </c>
      <c r="D92" s="410" t="s">
        <v>784</v>
      </c>
      <c r="E92" s="410" t="s">
        <v>952</v>
      </c>
      <c r="F92" s="410" t="s">
        <v>953</v>
      </c>
      <c r="G92" s="410">
        <v>1</v>
      </c>
      <c r="H92" s="411">
        <v>0.75</v>
      </c>
      <c r="I92" s="415">
        <v>1.0049443260843349E-3</v>
      </c>
      <c r="J92" s="412">
        <v>4.6875E-2</v>
      </c>
    </row>
    <row r="93" spans="2:10" x14ac:dyDescent="0.2">
      <c r="E93" s="410" t="s">
        <v>954</v>
      </c>
      <c r="F93" s="410" t="s">
        <v>955</v>
      </c>
      <c r="G93" s="410">
        <v>1</v>
      </c>
      <c r="H93" s="411">
        <v>2</v>
      </c>
      <c r="I93" s="415">
        <v>2.6798515362248935E-3</v>
      </c>
      <c r="J93" s="412">
        <v>0.125</v>
      </c>
    </row>
    <row r="94" spans="2:10" x14ac:dyDescent="0.2">
      <c r="D94" s="410" t="s">
        <v>823</v>
      </c>
      <c r="E94" s="410" t="s">
        <v>956</v>
      </c>
      <c r="F94" s="410" t="s">
        <v>957</v>
      </c>
      <c r="G94" s="410">
        <v>1</v>
      </c>
      <c r="H94" s="411">
        <v>0.875</v>
      </c>
      <c r="I94" s="415">
        <v>1.1724350470983908E-3</v>
      </c>
      <c r="J94" s="412">
        <v>5.46875E-2</v>
      </c>
    </row>
    <row r="95" spans="2:10" x14ac:dyDescent="0.2">
      <c r="B95" s="229" t="s">
        <v>1257</v>
      </c>
      <c r="C95" s="229"/>
      <c r="D95" s="229"/>
      <c r="E95" s="229"/>
      <c r="F95" s="229"/>
      <c r="H95" s="411">
        <v>3.625</v>
      </c>
      <c r="I95" s="415">
        <v>4.8572309094076192E-3</v>
      </c>
      <c r="J95" s="412">
        <v>0.2265625</v>
      </c>
    </row>
    <row r="96" spans="2:10" x14ac:dyDescent="0.2">
      <c r="B96" s="410" t="s">
        <v>618</v>
      </c>
      <c r="C96" s="410" t="s">
        <v>516</v>
      </c>
      <c r="D96" s="410" t="s">
        <v>868</v>
      </c>
      <c r="E96" s="410" t="s">
        <v>961</v>
      </c>
      <c r="F96" s="410" t="s">
        <v>962</v>
      </c>
      <c r="G96" s="410">
        <v>1</v>
      </c>
      <c r="H96" s="411">
        <v>3.125</v>
      </c>
      <c r="I96" s="415">
        <v>4.1872680253513955E-3</v>
      </c>
      <c r="J96" s="412">
        <v>0.1953125</v>
      </c>
    </row>
    <row r="97" spans="2:10" x14ac:dyDescent="0.2">
      <c r="E97" s="410" t="s">
        <v>963</v>
      </c>
      <c r="F97" s="410" t="s">
        <v>964</v>
      </c>
      <c r="G97" s="410">
        <v>1</v>
      </c>
      <c r="H97" s="411">
        <v>0</v>
      </c>
      <c r="I97" s="415">
        <v>0</v>
      </c>
      <c r="J97" s="412">
        <v>0</v>
      </c>
    </row>
    <row r="98" spans="2:10" x14ac:dyDescent="0.2">
      <c r="E98" s="410" t="s">
        <v>965</v>
      </c>
      <c r="F98" s="410" t="s">
        <v>966</v>
      </c>
      <c r="G98" s="410">
        <v>1</v>
      </c>
      <c r="H98" s="411">
        <v>1</v>
      </c>
      <c r="I98" s="415">
        <v>1.3399257681124468E-3</v>
      </c>
      <c r="J98" s="412">
        <v>6.25E-2</v>
      </c>
    </row>
    <row r="99" spans="2:10" x14ac:dyDescent="0.2">
      <c r="E99" s="410" t="s">
        <v>958</v>
      </c>
      <c r="F99" s="410" t="s">
        <v>960</v>
      </c>
      <c r="G99" s="410">
        <v>1</v>
      </c>
      <c r="H99" s="411">
        <v>4.375</v>
      </c>
      <c r="I99" s="415">
        <v>5.8621752354919539E-3</v>
      </c>
      <c r="J99" s="412">
        <v>0.2734375</v>
      </c>
    </row>
    <row r="100" spans="2:10" x14ac:dyDescent="0.2">
      <c r="B100" s="229" t="s">
        <v>1258</v>
      </c>
      <c r="C100" s="229"/>
      <c r="D100" s="229"/>
      <c r="E100" s="229"/>
      <c r="F100" s="229"/>
      <c r="H100" s="411">
        <v>8.5</v>
      </c>
      <c r="I100" s="415">
        <v>1.1389369028955796E-2</v>
      </c>
      <c r="J100" s="412">
        <v>0.53125</v>
      </c>
    </row>
    <row r="101" spans="2:10" x14ac:dyDescent="0.2">
      <c r="B101" s="410" t="s">
        <v>968</v>
      </c>
      <c r="C101" s="410" t="s">
        <v>516</v>
      </c>
      <c r="D101" s="410" t="s">
        <v>970</v>
      </c>
      <c r="E101" s="410" t="s">
        <v>967</v>
      </c>
      <c r="F101" s="410" t="s">
        <v>971</v>
      </c>
      <c r="G101" s="410">
        <v>1</v>
      </c>
      <c r="H101" s="411">
        <v>36.5</v>
      </c>
      <c r="I101" s="415">
        <v>4.8907290536104306E-2</v>
      </c>
      <c r="J101" s="412">
        <v>2.28125</v>
      </c>
    </row>
    <row r="102" spans="2:10" x14ac:dyDescent="0.2">
      <c r="D102" s="410" t="s">
        <v>807</v>
      </c>
      <c r="E102" s="410" t="s">
        <v>972</v>
      </c>
      <c r="F102" s="410" t="s">
        <v>973</v>
      </c>
      <c r="G102" s="410">
        <v>1</v>
      </c>
      <c r="H102" s="411">
        <v>1.625</v>
      </c>
      <c r="I102" s="415">
        <v>2.1773793731827257E-3</v>
      </c>
      <c r="J102" s="412">
        <v>0.1015625</v>
      </c>
    </row>
    <row r="103" spans="2:10" x14ac:dyDescent="0.2">
      <c r="E103" s="410" t="s">
        <v>974</v>
      </c>
      <c r="F103" s="410" t="s">
        <v>975</v>
      </c>
      <c r="G103" s="410">
        <v>1</v>
      </c>
      <c r="H103" s="411">
        <v>13</v>
      </c>
      <c r="I103" s="415">
        <v>1.7419034985461806E-2</v>
      </c>
      <c r="J103" s="412">
        <v>0.8125</v>
      </c>
    </row>
    <row r="104" spans="2:10" x14ac:dyDescent="0.2">
      <c r="B104" s="229" t="s">
        <v>1259</v>
      </c>
      <c r="C104" s="229"/>
      <c r="D104" s="229"/>
      <c r="E104" s="229"/>
      <c r="F104" s="229"/>
      <c r="H104" s="411">
        <v>51.125</v>
      </c>
      <c r="I104" s="415">
        <v>6.8503704894748829E-2</v>
      </c>
      <c r="J104" s="412">
        <v>3.1953125</v>
      </c>
    </row>
    <row r="105" spans="2:10" x14ac:dyDescent="0.2">
      <c r="B105" s="410" t="s">
        <v>602</v>
      </c>
      <c r="C105" s="410" t="s">
        <v>516</v>
      </c>
      <c r="D105" s="410" t="s">
        <v>807</v>
      </c>
      <c r="E105" s="410" t="s">
        <v>976</v>
      </c>
      <c r="F105" s="410" t="s">
        <v>976</v>
      </c>
      <c r="G105" s="410">
        <v>1</v>
      </c>
      <c r="H105" s="411">
        <v>0.75</v>
      </c>
      <c r="I105" s="415">
        <v>1.0049443260843349E-3</v>
      </c>
      <c r="J105" s="412">
        <v>4.6875E-2</v>
      </c>
    </row>
    <row r="106" spans="2:10" x14ac:dyDescent="0.2">
      <c r="E106" s="410" t="s">
        <v>977</v>
      </c>
      <c r="F106" s="410" t="s">
        <v>978</v>
      </c>
      <c r="G106" s="410">
        <v>1</v>
      </c>
      <c r="H106" s="411">
        <v>11</v>
      </c>
      <c r="I106" s="415">
        <v>1.4739183449236913E-2</v>
      </c>
      <c r="J106" s="412">
        <v>0.6875</v>
      </c>
    </row>
    <row r="107" spans="2:10" x14ac:dyDescent="0.2">
      <c r="D107" s="410" t="s">
        <v>977</v>
      </c>
      <c r="E107" s="410" t="s">
        <v>979</v>
      </c>
      <c r="F107" s="410" t="s">
        <v>980</v>
      </c>
      <c r="G107" s="410">
        <v>1</v>
      </c>
      <c r="H107" s="411">
        <v>3.25</v>
      </c>
      <c r="I107" s="415">
        <v>4.3547587463654515E-3</v>
      </c>
      <c r="J107" s="412">
        <v>0.203125</v>
      </c>
    </row>
    <row r="108" spans="2:10" x14ac:dyDescent="0.2">
      <c r="D108" s="410" t="s">
        <v>982</v>
      </c>
      <c r="E108" s="410" t="s">
        <v>981</v>
      </c>
      <c r="F108" s="410" t="s">
        <v>983</v>
      </c>
      <c r="G108" s="410">
        <v>1</v>
      </c>
      <c r="H108" s="411">
        <v>2.625</v>
      </c>
      <c r="I108" s="415">
        <v>3.5173051412951727E-3</v>
      </c>
      <c r="J108" s="412">
        <v>0.1640625</v>
      </c>
    </row>
    <row r="109" spans="2:10" x14ac:dyDescent="0.2">
      <c r="D109" s="410" t="s">
        <v>985</v>
      </c>
      <c r="E109" s="410" t="s">
        <v>984</v>
      </c>
      <c r="F109" s="410" t="s">
        <v>986</v>
      </c>
      <c r="G109" s="410">
        <v>1</v>
      </c>
      <c r="H109" s="411">
        <v>4.5</v>
      </c>
      <c r="I109" s="415">
        <v>6.0296659565060098E-3</v>
      </c>
      <c r="J109" s="412">
        <v>0.28125</v>
      </c>
    </row>
    <row r="110" spans="2:10" x14ac:dyDescent="0.2">
      <c r="E110" s="410" t="s">
        <v>987</v>
      </c>
      <c r="F110" s="410" t="s">
        <v>988</v>
      </c>
      <c r="G110" s="410">
        <v>1</v>
      </c>
      <c r="H110" s="411">
        <v>1.375</v>
      </c>
      <c r="I110" s="415">
        <v>1.8423979311546141E-3</v>
      </c>
      <c r="J110" s="412">
        <v>8.59375E-2</v>
      </c>
    </row>
    <row r="111" spans="2:10" x14ac:dyDescent="0.2">
      <c r="E111" s="410" t="s">
        <v>989</v>
      </c>
      <c r="F111" s="410" t="s">
        <v>990</v>
      </c>
      <c r="G111" s="410">
        <v>1</v>
      </c>
      <c r="H111" s="411">
        <v>4.75</v>
      </c>
      <c r="I111" s="415">
        <v>6.3646473985341217E-3</v>
      </c>
      <c r="J111" s="412">
        <v>0.296875</v>
      </c>
    </row>
    <row r="112" spans="2:10" x14ac:dyDescent="0.2">
      <c r="D112" s="410" t="s">
        <v>823</v>
      </c>
      <c r="E112" s="410" t="s">
        <v>991</v>
      </c>
      <c r="F112" s="410" t="s">
        <v>992</v>
      </c>
      <c r="G112" s="410">
        <v>1</v>
      </c>
      <c r="H112" s="411">
        <v>0.25</v>
      </c>
      <c r="I112" s="415">
        <v>3.3498144202811169E-4</v>
      </c>
      <c r="J112" s="412">
        <v>1.5625E-2</v>
      </c>
    </row>
    <row r="113" spans="1:10" x14ac:dyDescent="0.2">
      <c r="E113" s="410" t="s">
        <v>993</v>
      </c>
      <c r="F113" s="410" t="s">
        <v>994</v>
      </c>
      <c r="G113" s="410">
        <v>1</v>
      </c>
      <c r="H113" s="411">
        <v>2.5</v>
      </c>
      <c r="I113" s="415">
        <v>3.3498144202811168E-3</v>
      </c>
      <c r="J113" s="412">
        <v>0.15625</v>
      </c>
    </row>
    <row r="114" spans="1:10" x14ac:dyDescent="0.2">
      <c r="D114" s="410" t="s">
        <v>826</v>
      </c>
      <c r="E114" s="410" t="s">
        <v>995</v>
      </c>
      <c r="F114" s="410" t="s">
        <v>996</v>
      </c>
      <c r="G114" s="410">
        <v>1</v>
      </c>
      <c r="H114" s="411">
        <v>3.75</v>
      </c>
      <c r="I114" s="415">
        <v>5.0247216304216752E-3</v>
      </c>
      <c r="J114" s="412">
        <v>0.234375</v>
      </c>
    </row>
    <row r="115" spans="1:10" x14ac:dyDescent="0.2">
      <c r="B115" s="229" t="s">
        <v>1260</v>
      </c>
      <c r="C115" s="229"/>
      <c r="D115" s="229"/>
      <c r="E115" s="229"/>
      <c r="F115" s="229"/>
      <c r="H115" s="411">
        <v>34.75</v>
      </c>
      <c r="I115" s="415">
        <v>4.6562420441907525E-2</v>
      </c>
      <c r="J115" s="412">
        <v>2.171875</v>
      </c>
    </row>
    <row r="116" spans="1:10" x14ac:dyDescent="0.2">
      <c r="A116" s="229" t="s">
        <v>1261</v>
      </c>
      <c r="B116" s="229"/>
      <c r="C116" s="229"/>
      <c r="D116" s="229"/>
      <c r="E116" s="229"/>
      <c r="F116" s="229"/>
      <c r="H116" s="411">
        <v>744.56</v>
      </c>
      <c r="I116" s="415">
        <v>0.99765512990580318</v>
      </c>
      <c r="J116" s="412">
        <v>46.534999999999997</v>
      </c>
    </row>
    <row r="117" spans="1:10" x14ac:dyDescent="0.2">
      <c r="A117" s="410" t="s">
        <v>998</v>
      </c>
      <c r="B117" s="410" t="s">
        <v>862</v>
      </c>
      <c r="C117" s="410" t="s">
        <v>516</v>
      </c>
      <c r="D117" s="410" t="s">
        <v>823</v>
      </c>
      <c r="E117" s="410" t="s">
        <v>997</v>
      </c>
      <c r="F117" s="410" t="s">
        <v>999</v>
      </c>
      <c r="G117" s="410">
        <v>1</v>
      </c>
      <c r="H117" s="411">
        <v>0.375</v>
      </c>
      <c r="I117" s="415">
        <v>5.0247216304216745E-4</v>
      </c>
      <c r="J117" s="412">
        <v>2.34375E-2</v>
      </c>
    </row>
    <row r="118" spans="1:10" x14ac:dyDescent="0.2">
      <c r="B118" s="229" t="s">
        <v>1252</v>
      </c>
      <c r="C118" s="229"/>
      <c r="D118" s="229"/>
      <c r="E118" s="229"/>
      <c r="F118" s="229"/>
      <c r="H118" s="411">
        <v>0.375</v>
      </c>
      <c r="I118" s="415">
        <v>5.0247216304216745E-4</v>
      </c>
      <c r="J118" s="412">
        <v>2.34375E-2</v>
      </c>
    </row>
    <row r="119" spans="1:10" x14ac:dyDescent="0.2">
      <c r="B119" s="410" t="s">
        <v>602</v>
      </c>
      <c r="C119" s="410" t="s">
        <v>516</v>
      </c>
      <c r="D119" s="410" t="s">
        <v>868</v>
      </c>
      <c r="E119" s="410" t="s">
        <v>1000</v>
      </c>
      <c r="F119" s="410" t="s">
        <v>1001</v>
      </c>
      <c r="G119" s="410">
        <v>1</v>
      </c>
      <c r="H119" s="411">
        <v>1.375</v>
      </c>
      <c r="I119" s="415">
        <v>1.8423979311546141E-3</v>
      </c>
      <c r="J119" s="412">
        <v>8.59375E-2</v>
      </c>
    </row>
    <row r="120" spans="1:10" x14ac:dyDescent="0.2">
      <c r="B120" s="229" t="s">
        <v>1260</v>
      </c>
      <c r="C120" s="229"/>
      <c r="D120" s="229"/>
      <c r="E120" s="229"/>
      <c r="F120" s="229"/>
      <c r="H120" s="411">
        <v>1.375</v>
      </c>
      <c r="I120" s="415">
        <v>1.8423979311546141E-3</v>
      </c>
      <c r="J120" s="412">
        <v>8.59375E-2</v>
      </c>
    </row>
    <row r="121" spans="1:10" x14ac:dyDescent="0.2">
      <c r="A121" s="229" t="s">
        <v>1262</v>
      </c>
      <c r="B121" s="229"/>
      <c r="C121" s="229"/>
      <c r="D121" s="229"/>
      <c r="E121" s="229"/>
      <c r="F121" s="229"/>
      <c r="H121" s="411">
        <v>1.75</v>
      </c>
      <c r="I121" s="415">
        <v>2.3448700941967817E-3</v>
      </c>
      <c r="J121" s="412">
        <v>0.109375</v>
      </c>
    </row>
    <row r="122" spans="1:10" x14ac:dyDescent="0.2">
      <c r="A122" s="229" t="s">
        <v>532</v>
      </c>
      <c r="B122" s="229"/>
      <c r="C122" s="229"/>
      <c r="D122" s="229"/>
      <c r="E122" s="229"/>
      <c r="F122" s="229"/>
      <c r="H122" s="411">
        <v>746.31</v>
      </c>
      <c r="I122" s="415">
        <v>1</v>
      </c>
      <c r="J122" s="412">
        <v>46.644374999999997</v>
      </c>
    </row>
    <row r="123" spans="1:10" x14ac:dyDescent="0.2">
      <c r="A123"/>
      <c r="B123"/>
      <c r="C123"/>
      <c r="D123"/>
      <c r="E123"/>
      <c r="F123"/>
      <c r="G123"/>
      <c r="H123"/>
      <c r="I123"/>
      <c r="J123"/>
    </row>
    <row r="124" spans="1:10" x14ac:dyDescent="0.2">
      <c r="A124"/>
      <c r="B124"/>
      <c r="C124"/>
      <c r="D124"/>
      <c r="E124"/>
      <c r="F124"/>
      <c r="G124"/>
      <c r="H124"/>
      <c r="I124"/>
      <c r="J124"/>
    </row>
    <row r="125" spans="1:10" x14ac:dyDescent="0.2">
      <c r="A125"/>
      <c r="B125"/>
      <c r="C125"/>
      <c r="D125"/>
      <c r="E125"/>
      <c r="F125"/>
      <c r="G125"/>
      <c r="H125"/>
      <c r="I125"/>
      <c r="J125"/>
    </row>
    <row r="126" spans="1:10" x14ac:dyDescent="0.2">
      <c r="A126"/>
      <c r="B126"/>
      <c r="C126"/>
      <c r="D126"/>
      <c r="E126"/>
      <c r="F126"/>
      <c r="G126"/>
      <c r="H126"/>
      <c r="I126"/>
      <c r="J126"/>
    </row>
    <row r="127" spans="1:10" x14ac:dyDescent="0.2">
      <c r="A127"/>
      <c r="B127"/>
      <c r="C127"/>
      <c r="D127"/>
      <c r="E127"/>
      <c r="F127"/>
      <c r="G127"/>
      <c r="H127"/>
      <c r="I127"/>
      <c r="J127"/>
    </row>
    <row r="128" spans="1:10" x14ac:dyDescent="0.2">
      <c r="A128"/>
      <c r="B128"/>
      <c r="C128"/>
      <c r="D128"/>
      <c r="E128"/>
      <c r="F128"/>
      <c r="G128"/>
      <c r="H128"/>
      <c r="I128"/>
      <c r="J128"/>
    </row>
    <row r="129" spans="1:10" x14ac:dyDescent="0.2">
      <c r="A129"/>
      <c r="B129"/>
      <c r="C129"/>
      <c r="D129"/>
      <c r="E129"/>
      <c r="F129"/>
      <c r="G129"/>
      <c r="H129"/>
      <c r="I129"/>
      <c r="J129"/>
    </row>
    <row r="130" spans="1:10" x14ac:dyDescent="0.2">
      <c r="A130"/>
      <c r="B130"/>
      <c r="C130"/>
      <c r="D130"/>
      <c r="E130"/>
      <c r="F130"/>
      <c r="G130"/>
      <c r="H130"/>
      <c r="I130"/>
      <c r="J130"/>
    </row>
    <row r="131" spans="1:10" x14ac:dyDescent="0.2">
      <c r="A131"/>
      <c r="B131"/>
      <c r="C131"/>
      <c r="D131"/>
      <c r="E131"/>
      <c r="F131"/>
      <c r="G131"/>
      <c r="H131"/>
      <c r="I131"/>
      <c r="J131"/>
    </row>
    <row r="132" spans="1:10" x14ac:dyDescent="0.2">
      <c r="A132"/>
      <c r="B132"/>
      <c r="C132"/>
      <c r="D132"/>
      <c r="E132"/>
      <c r="F132"/>
      <c r="G132"/>
      <c r="H132"/>
      <c r="I132"/>
      <c r="J132"/>
    </row>
    <row r="133" spans="1:10" x14ac:dyDescent="0.2">
      <c r="A133"/>
      <c r="B133"/>
      <c r="C133"/>
      <c r="D133"/>
      <c r="E133"/>
      <c r="F133"/>
      <c r="G133"/>
      <c r="H133"/>
      <c r="I133"/>
      <c r="J133"/>
    </row>
    <row r="134" spans="1:10" x14ac:dyDescent="0.2">
      <c r="A134"/>
      <c r="B134"/>
      <c r="C134"/>
      <c r="D134"/>
      <c r="E134"/>
      <c r="F134"/>
      <c r="G134"/>
      <c r="H134"/>
      <c r="I134"/>
      <c r="J134"/>
    </row>
    <row r="135" spans="1:10" x14ac:dyDescent="0.2">
      <c r="A135"/>
      <c r="B135"/>
      <c r="C135"/>
      <c r="D135"/>
      <c r="E135"/>
      <c r="F135"/>
      <c r="G135"/>
      <c r="H135"/>
      <c r="I135"/>
      <c r="J135"/>
    </row>
    <row r="136" spans="1:10" x14ac:dyDescent="0.2">
      <c r="A136"/>
      <c r="B136"/>
      <c r="C136"/>
      <c r="D136"/>
      <c r="E136"/>
      <c r="F136"/>
      <c r="G136"/>
      <c r="H136"/>
      <c r="I136"/>
      <c r="J136"/>
    </row>
    <row r="137" spans="1:10" x14ac:dyDescent="0.2">
      <c r="A137"/>
      <c r="B137"/>
      <c r="C137"/>
      <c r="D137"/>
      <c r="E137"/>
      <c r="F137"/>
      <c r="G137"/>
      <c r="H137"/>
      <c r="I137"/>
      <c r="J137"/>
    </row>
    <row r="138" spans="1:10" x14ac:dyDescent="0.2">
      <c r="A138"/>
      <c r="B138"/>
      <c r="C138"/>
      <c r="D138"/>
      <c r="E138"/>
      <c r="F138"/>
      <c r="G138"/>
      <c r="H138"/>
      <c r="I138"/>
      <c r="J138"/>
    </row>
    <row r="139" spans="1:10" x14ac:dyDescent="0.2">
      <c r="A139"/>
      <c r="B139"/>
      <c r="C139"/>
      <c r="D139"/>
      <c r="E139"/>
      <c r="F139"/>
      <c r="G139"/>
      <c r="H139"/>
      <c r="I139"/>
      <c r="J139"/>
    </row>
    <row r="140" spans="1:10" x14ac:dyDescent="0.2">
      <c r="A140"/>
      <c r="B140"/>
      <c r="C140"/>
      <c r="D140"/>
      <c r="E140"/>
      <c r="F140"/>
      <c r="G140"/>
      <c r="H140"/>
      <c r="I140"/>
      <c r="J140"/>
    </row>
    <row r="141" spans="1:10" x14ac:dyDescent="0.2">
      <c r="A141"/>
      <c r="B141"/>
      <c r="C141"/>
      <c r="D141"/>
      <c r="E141"/>
      <c r="F141"/>
      <c r="G141"/>
      <c r="H141"/>
      <c r="I141"/>
      <c r="J141"/>
    </row>
    <row r="142" spans="1:10" x14ac:dyDescent="0.2">
      <c r="A142"/>
      <c r="B142"/>
      <c r="C142"/>
      <c r="D142"/>
      <c r="E142"/>
      <c r="F142"/>
      <c r="G142"/>
      <c r="H142"/>
      <c r="I142"/>
      <c r="J142"/>
    </row>
    <row r="143" spans="1:10" x14ac:dyDescent="0.2">
      <c r="A143"/>
      <c r="B143"/>
      <c r="C143"/>
      <c r="D143"/>
      <c r="E143"/>
      <c r="F143"/>
      <c r="G143"/>
      <c r="H143"/>
      <c r="I143"/>
      <c r="J143"/>
    </row>
    <row r="144" spans="1:10" x14ac:dyDescent="0.2">
      <c r="A144"/>
      <c r="B144"/>
      <c r="C144"/>
      <c r="D144"/>
      <c r="E144"/>
      <c r="F144"/>
      <c r="G144"/>
      <c r="H144"/>
      <c r="I144"/>
      <c r="J144"/>
    </row>
    <row r="145" spans="1:10" x14ac:dyDescent="0.2">
      <c r="A145"/>
      <c r="B145"/>
      <c r="C145"/>
      <c r="D145"/>
      <c r="E145"/>
      <c r="F145"/>
      <c r="G145"/>
      <c r="H145"/>
      <c r="I145"/>
      <c r="J145"/>
    </row>
    <row r="146" spans="1:10" x14ac:dyDescent="0.2">
      <c r="A146"/>
      <c r="B146"/>
      <c r="C146"/>
      <c r="D146"/>
      <c r="E146"/>
      <c r="F146"/>
      <c r="G146"/>
      <c r="H146"/>
      <c r="I146"/>
      <c r="J146"/>
    </row>
    <row r="147" spans="1:10" x14ac:dyDescent="0.2">
      <c r="A147"/>
      <c r="B147"/>
      <c r="C147"/>
      <c r="D147"/>
      <c r="E147"/>
      <c r="F147"/>
      <c r="G147"/>
      <c r="H147"/>
      <c r="I147"/>
      <c r="J147"/>
    </row>
    <row r="148" spans="1:10" x14ac:dyDescent="0.2">
      <c r="A148"/>
      <c r="B148"/>
      <c r="C148"/>
      <c r="D148"/>
      <c r="E148"/>
      <c r="F148"/>
      <c r="G148"/>
      <c r="H148"/>
      <c r="I148"/>
      <c r="J148"/>
    </row>
    <row r="149" spans="1:10" x14ac:dyDescent="0.2">
      <c r="A149"/>
      <c r="B149"/>
      <c r="C149"/>
      <c r="D149"/>
      <c r="E149"/>
      <c r="F149"/>
      <c r="G149"/>
      <c r="H149"/>
      <c r="I149"/>
      <c r="J149"/>
    </row>
    <row r="150" spans="1:10" x14ac:dyDescent="0.2">
      <c r="A150"/>
      <c r="B150"/>
      <c r="C150"/>
      <c r="D150"/>
      <c r="E150"/>
      <c r="F150"/>
      <c r="G150"/>
      <c r="H150"/>
      <c r="I150"/>
      <c r="J150"/>
    </row>
    <row r="151" spans="1:10" x14ac:dyDescent="0.2">
      <c r="A151"/>
      <c r="B151"/>
      <c r="C151"/>
      <c r="D151"/>
      <c r="E151"/>
      <c r="F151"/>
      <c r="G151"/>
      <c r="H151"/>
      <c r="I151"/>
      <c r="J151"/>
    </row>
    <row r="152" spans="1:10" x14ac:dyDescent="0.2">
      <c r="A152"/>
      <c r="B152"/>
      <c r="C152"/>
      <c r="D152"/>
      <c r="E152"/>
      <c r="F152"/>
      <c r="G152"/>
      <c r="H152"/>
      <c r="I152"/>
      <c r="J152"/>
    </row>
    <row r="153" spans="1:10" x14ac:dyDescent="0.2">
      <c r="A153"/>
      <c r="B153"/>
      <c r="C153"/>
      <c r="D153"/>
      <c r="E153"/>
      <c r="F153"/>
      <c r="G153"/>
      <c r="H153"/>
      <c r="I153"/>
      <c r="J153"/>
    </row>
    <row r="154" spans="1:10" x14ac:dyDescent="0.2">
      <c r="A154"/>
      <c r="B154"/>
      <c r="C154"/>
      <c r="D154"/>
      <c r="E154"/>
      <c r="F154"/>
      <c r="G154"/>
      <c r="H154"/>
      <c r="I154"/>
      <c r="J154"/>
    </row>
    <row r="155" spans="1:10" x14ac:dyDescent="0.2">
      <c r="A155"/>
      <c r="B155"/>
      <c r="C155"/>
      <c r="D155"/>
      <c r="E155"/>
      <c r="F155"/>
      <c r="G155"/>
      <c r="H155"/>
      <c r="I155"/>
      <c r="J155"/>
    </row>
    <row r="156" spans="1:10" x14ac:dyDescent="0.2">
      <c r="A156"/>
      <c r="B156"/>
      <c r="C156"/>
      <c r="D156"/>
      <c r="E156"/>
      <c r="F156"/>
      <c r="G156"/>
      <c r="H156"/>
      <c r="I156"/>
      <c r="J156"/>
    </row>
    <row r="157" spans="1:10" x14ac:dyDescent="0.2">
      <c r="A157"/>
      <c r="B157"/>
      <c r="C157"/>
      <c r="D157"/>
      <c r="E157"/>
      <c r="F157"/>
      <c r="G157"/>
      <c r="H157"/>
      <c r="I157"/>
      <c r="J157"/>
    </row>
    <row r="158" spans="1:10" x14ac:dyDescent="0.2">
      <c r="A158"/>
      <c r="B158"/>
      <c r="C158"/>
      <c r="D158"/>
      <c r="E158"/>
      <c r="F158"/>
      <c r="G158"/>
      <c r="H158"/>
      <c r="I158"/>
      <c r="J158"/>
    </row>
    <row r="159" spans="1:10" x14ac:dyDescent="0.2">
      <c r="A159"/>
      <c r="B159"/>
      <c r="C159"/>
      <c r="D159"/>
      <c r="E159"/>
      <c r="F159"/>
      <c r="G159"/>
      <c r="H159"/>
      <c r="I159"/>
      <c r="J159"/>
    </row>
    <row r="160" spans="1:10" x14ac:dyDescent="0.2">
      <c r="A160"/>
      <c r="B160"/>
      <c r="C160"/>
      <c r="D160"/>
      <c r="E160"/>
      <c r="F160"/>
      <c r="G160"/>
      <c r="H160"/>
      <c r="I160"/>
      <c r="J160"/>
    </row>
    <row r="161" spans="1:10" x14ac:dyDescent="0.2">
      <c r="A161"/>
      <c r="B161"/>
      <c r="C161"/>
      <c r="D161"/>
      <c r="E161"/>
      <c r="F161"/>
      <c r="G161"/>
      <c r="H161"/>
      <c r="I161"/>
      <c r="J161"/>
    </row>
    <row r="162" spans="1:10" x14ac:dyDescent="0.2">
      <c r="A162"/>
      <c r="B162"/>
      <c r="C162"/>
      <c r="D162"/>
      <c r="E162"/>
      <c r="F162"/>
      <c r="G162"/>
      <c r="H162"/>
      <c r="I162"/>
      <c r="J162"/>
    </row>
    <row r="163" spans="1:10" x14ac:dyDescent="0.2">
      <c r="A163"/>
      <c r="B163"/>
      <c r="C163"/>
      <c r="D163"/>
      <c r="E163"/>
      <c r="F163"/>
      <c r="G163"/>
      <c r="H163"/>
      <c r="I163"/>
      <c r="J163"/>
    </row>
    <row r="164" spans="1:10" x14ac:dyDescent="0.2">
      <c r="A164"/>
      <c r="B164"/>
      <c r="C164"/>
      <c r="D164"/>
      <c r="E164"/>
      <c r="F164"/>
      <c r="G164"/>
      <c r="H164"/>
      <c r="I164"/>
      <c r="J164"/>
    </row>
    <row r="165" spans="1:10" x14ac:dyDescent="0.2">
      <c r="A165"/>
      <c r="B165"/>
      <c r="C165"/>
      <c r="D165"/>
      <c r="E165"/>
      <c r="F165"/>
      <c r="G165"/>
      <c r="H165"/>
      <c r="I165"/>
      <c r="J165"/>
    </row>
    <row r="166" spans="1:10" x14ac:dyDescent="0.2">
      <c r="A166"/>
      <c r="B166"/>
      <c r="C166"/>
      <c r="D166"/>
      <c r="E166"/>
      <c r="F166"/>
      <c r="G166"/>
      <c r="H166"/>
      <c r="I166"/>
      <c r="J166"/>
    </row>
    <row r="167" spans="1:10" x14ac:dyDescent="0.2">
      <c r="A167"/>
      <c r="B167"/>
      <c r="C167"/>
      <c r="D167"/>
      <c r="E167"/>
      <c r="F167"/>
      <c r="G167"/>
      <c r="H167"/>
      <c r="I167"/>
      <c r="J167"/>
    </row>
    <row r="168" spans="1:10" x14ac:dyDescent="0.2">
      <c r="A168"/>
      <c r="B168"/>
      <c r="C168"/>
      <c r="D168"/>
      <c r="E168"/>
      <c r="F168"/>
      <c r="G168"/>
      <c r="H168"/>
      <c r="I168"/>
      <c r="J168"/>
    </row>
    <row r="169" spans="1:10" x14ac:dyDescent="0.2">
      <c r="A169"/>
      <c r="B169"/>
      <c r="C169"/>
      <c r="D169"/>
      <c r="E169"/>
      <c r="F169"/>
      <c r="G169"/>
      <c r="H169"/>
      <c r="I169"/>
      <c r="J169"/>
    </row>
    <row r="170" spans="1:10" x14ac:dyDescent="0.2">
      <c r="A170"/>
      <c r="B170"/>
      <c r="C170"/>
      <c r="D170"/>
      <c r="E170"/>
      <c r="F170"/>
      <c r="G170"/>
      <c r="H170"/>
      <c r="I170"/>
      <c r="J170"/>
    </row>
    <row r="171" spans="1:10" x14ac:dyDescent="0.2">
      <c r="A171"/>
      <c r="B171"/>
      <c r="C171"/>
      <c r="D171"/>
      <c r="E171"/>
      <c r="F171"/>
      <c r="G171"/>
      <c r="H171"/>
      <c r="I171"/>
      <c r="J171"/>
    </row>
    <row r="172" spans="1:10" x14ac:dyDescent="0.2">
      <c r="A172"/>
      <c r="B172"/>
      <c r="C172"/>
      <c r="D172"/>
      <c r="E172"/>
      <c r="F172"/>
      <c r="G172"/>
      <c r="H172"/>
      <c r="I172"/>
      <c r="J172"/>
    </row>
    <row r="173" spans="1:10" x14ac:dyDescent="0.2">
      <c r="A173"/>
      <c r="B173"/>
      <c r="C173"/>
      <c r="D173"/>
      <c r="E173"/>
      <c r="F173"/>
      <c r="G173"/>
      <c r="H173"/>
      <c r="I173"/>
      <c r="J173"/>
    </row>
    <row r="174" spans="1:10" x14ac:dyDescent="0.2">
      <c r="A174"/>
      <c r="B174"/>
      <c r="C174"/>
      <c r="D174"/>
      <c r="E174"/>
      <c r="F174"/>
      <c r="G174"/>
      <c r="H174"/>
      <c r="I174"/>
      <c r="J174"/>
    </row>
    <row r="175" spans="1:10" x14ac:dyDescent="0.2">
      <c r="A175"/>
      <c r="B175"/>
      <c r="C175"/>
      <c r="D175"/>
      <c r="E175"/>
      <c r="F175"/>
      <c r="G175"/>
      <c r="H175"/>
      <c r="I175"/>
      <c r="J175"/>
    </row>
    <row r="176" spans="1:10" x14ac:dyDescent="0.2">
      <c r="A176"/>
      <c r="B176"/>
      <c r="C176"/>
      <c r="D176"/>
      <c r="E176"/>
      <c r="F176"/>
      <c r="G176"/>
      <c r="H176"/>
      <c r="I176"/>
      <c r="J176"/>
    </row>
    <row r="177" spans="1:10" x14ac:dyDescent="0.2">
      <c r="A177"/>
      <c r="B177"/>
      <c r="C177"/>
      <c r="D177"/>
      <c r="E177"/>
      <c r="F177"/>
      <c r="G177"/>
      <c r="H177"/>
      <c r="I177"/>
      <c r="J177"/>
    </row>
    <row r="178" spans="1:10" x14ac:dyDescent="0.2">
      <c r="A178"/>
      <c r="B178"/>
      <c r="C178"/>
      <c r="D178"/>
      <c r="E178"/>
      <c r="F178"/>
      <c r="G178"/>
      <c r="H178"/>
      <c r="I178"/>
      <c r="J178"/>
    </row>
    <row r="179" spans="1:10" x14ac:dyDescent="0.2">
      <c r="A179"/>
      <c r="B179"/>
      <c r="C179"/>
      <c r="D179"/>
      <c r="E179"/>
      <c r="F179"/>
      <c r="G179"/>
      <c r="H179"/>
      <c r="I179"/>
      <c r="J179"/>
    </row>
    <row r="180" spans="1:10" x14ac:dyDescent="0.2">
      <c r="A180"/>
      <c r="B180"/>
      <c r="C180"/>
      <c r="D180"/>
      <c r="E180"/>
      <c r="F180"/>
      <c r="G180"/>
      <c r="H180"/>
      <c r="I180"/>
      <c r="J180"/>
    </row>
    <row r="181" spans="1:10" x14ac:dyDescent="0.2">
      <c r="A181"/>
      <c r="B181"/>
      <c r="C181"/>
      <c r="D181"/>
      <c r="E181"/>
      <c r="F181"/>
      <c r="G181"/>
      <c r="H181"/>
      <c r="I181"/>
      <c r="J181"/>
    </row>
    <row r="182" spans="1:10" x14ac:dyDescent="0.2">
      <c r="A182"/>
      <c r="B182"/>
      <c r="C182"/>
      <c r="D182"/>
      <c r="E182"/>
      <c r="F182"/>
      <c r="G182"/>
      <c r="H182"/>
      <c r="I182"/>
      <c r="J182"/>
    </row>
    <row r="183" spans="1:10" x14ac:dyDescent="0.2">
      <c r="A183"/>
      <c r="B183"/>
      <c r="C183"/>
      <c r="D183"/>
      <c r="E183"/>
      <c r="F183"/>
      <c r="G183"/>
      <c r="H183"/>
      <c r="I183"/>
      <c r="J183"/>
    </row>
    <row r="184" spans="1:10" x14ac:dyDescent="0.2">
      <c r="A184"/>
      <c r="B184"/>
      <c r="C184"/>
      <c r="D184"/>
      <c r="E184"/>
      <c r="F184"/>
      <c r="G184"/>
      <c r="H184"/>
      <c r="I184"/>
      <c r="J184"/>
    </row>
    <row r="185" spans="1:10" x14ac:dyDescent="0.2">
      <c r="A185"/>
      <c r="B185"/>
      <c r="C185"/>
      <c r="D185"/>
      <c r="E185"/>
      <c r="F185"/>
      <c r="G185"/>
      <c r="H185"/>
      <c r="I185"/>
      <c r="J185"/>
    </row>
    <row r="186" spans="1:10" x14ac:dyDescent="0.2">
      <c r="A186"/>
      <c r="B186"/>
      <c r="C186"/>
      <c r="D186"/>
      <c r="E186"/>
      <c r="F186"/>
      <c r="G186"/>
      <c r="H186"/>
      <c r="I186"/>
      <c r="J186"/>
    </row>
    <row r="187" spans="1:10" x14ac:dyDescent="0.2">
      <c r="A187"/>
      <c r="B187"/>
      <c r="C187"/>
      <c r="D187"/>
      <c r="E187"/>
      <c r="F187"/>
      <c r="G187"/>
      <c r="H187"/>
      <c r="I187"/>
      <c r="J187"/>
    </row>
    <row r="188" spans="1:10" x14ac:dyDescent="0.2">
      <c r="A188"/>
      <c r="B188"/>
      <c r="C188"/>
      <c r="D188"/>
      <c r="E188"/>
      <c r="F188"/>
      <c r="G188"/>
      <c r="H188"/>
      <c r="I188"/>
      <c r="J188"/>
    </row>
    <row r="189" spans="1:10" x14ac:dyDescent="0.2">
      <c r="A189"/>
      <c r="B189"/>
      <c r="C189"/>
      <c r="D189"/>
      <c r="E189"/>
      <c r="F189"/>
      <c r="G189"/>
      <c r="H189"/>
      <c r="I189"/>
      <c r="J189"/>
    </row>
    <row r="190" spans="1:10" x14ac:dyDescent="0.2">
      <c r="A190"/>
      <c r="B190"/>
      <c r="C190"/>
      <c r="D190"/>
      <c r="E190"/>
      <c r="F190"/>
      <c r="G190"/>
      <c r="H190"/>
      <c r="I190"/>
      <c r="J190"/>
    </row>
    <row r="191" spans="1:10" x14ac:dyDescent="0.2">
      <c r="A191"/>
      <c r="B191"/>
      <c r="C191"/>
      <c r="D191"/>
      <c r="E191"/>
      <c r="F191"/>
      <c r="G191"/>
      <c r="H191"/>
      <c r="I191"/>
      <c r="J191"/>
    </row>
    <row r="192" spans="1:10" x14ac:dyDescent="0.2">
      <c r="A192"/>
      <c r="B192"/>
      <c r="C192"/>
      <c r="D192"/>
      <c r="E192"/>
      <c r="F192"/>
      <c r="G192"/>
      <c r="H192"/>
      <c r="I192"/>
      <c r="J192"/>
    </row>
    <row r="193" spans="1:10" x14ac:dyDescent="0.2">
      <c r="A193"/>
      <c r="B193"/>
      <c r="C193"/>
      <c r="D193"/>
      <c r="E193"/>
      <c r="F193"/>
      <c r="G193"/>
      <c r="H193"/>
      <c r="I193"/>
      <c r="J193"/>
    </row>
    <row r="194" spans="1:10" x14ac:dyDescent="0.2">
      <c r="A194"/>
      <c r="B194"/>
      <c r="C194"/>
      <c r="D194"/>
      <c r="E194"/>
      <c r="F194"/>
      <c r="G194"/>
      <c r="H194"/>
      <c r="I194"/>
      <c r="J194"/>
    </row>
    <row r="195" spans="1:10" x14ac:dyDescent="0.2">
      <c r="A195"/>
      <c r="B195"/>
      <c r="C195"/>
      <c r="D195"/>
      <c r="E195"/>
      <c r="F195"/>
      <c r="G195"/>
      <c r="H195"/>
      <c r="I195"/>
      <c r="J195"/>
    </row>
    <row r="196" spans="1:10" x14ac:dyDescent="0.2">
      <c r="A196"/>
      <c r="B196"/>
      <c r="C196"/>
      <c r="D196"/>
      <c r="E196"/>
      <c r="F196"/>
      <c r="G196"/>
      <c r="H196"/>
      <c r="I196"/>
      <c r="J196"/>
    </row>
    <row r="197" spans="1:10" x14ac:dyDescent="0.2">
      <c r="A197"/>
      <c r="B197"/>
      <c r="C197"/>
      <c r="D197"/>
      <c r="E197"/>
      <c r="F197"/>
      <c r="G197"/>
      <c r="H197"/>
      <c r="I197"/>
      <c r="J197"/>
    </row>
    <row r="198" spans="1:10" x14ac:dyDescent="0.2">
      <c r="A198"/>
      <c r="B198"/>
      <c r="C198"/>
      <c r="D198"/>
      <c r="E198"/>
      <c r="F198"/>
      <c r="G198"/>
      <c r="H198"/>
      <c r="I198"/>
      <c r="J198"/>
    </row>
    <row r="199" spans="1:10" x14ac:dyDescent="0.2">
      <c r="A199"/>
      <c r="B199"/>
      <c r="C199"/>
      <c r="D199"/>
      <c r="E199"/>
      <c r="F199"/>
      <c r="G199"/>
      <c r="H199"/>
      <c r="I199"/>
      <c r="J199"/>
    </row>
    <row r="200" spans="1:10" x14ac:dyDescent="0.2">
      <c r="A200"/>
      <c r="B200"/>
      <c r="C200"/>
      <c r="D200"/>
      <c r="E200"/>
      <c r="F200"/>
      <c r="G200"/>
      <c r="H200"/>
      <c r="I200"/>
      <c r="J200"/>
    </row>
    <row r="201" spans="1:10" x14ac:dyDescent="0.2">
      <c r="A201"/>
      <c r="B201"/>
      <c r="C201"/>
      <c r="D201"/>
      <c r="E201"/>
      <c r="F201"/>
      <c r="G201"/>
      <c r="H201"/>
      <c r="I201"/>
      <c r="J201"/>
    </row>
    <row r="202" spans="1:10" x14ac:dyDescent="0.2">
      <c r="A202"/>
      <c r="B202"/>
      <c r="C202"/>
      <c r="D202"/>
      <c r="E202"/>
      <c r="F202"/>
      <c r="G202"/>
      <c r="H202"/>
      <c r="I202"/>
      <c r="J202"/>
    </row>
    <row r="203" spans="1:10" x14ac:dyDescent="0.2">
      <c r="A203"/>
      <c r="B203"/>
      <c r="C203"/>
      <c r="D203"/>
      <c r="E203"/>
      <c r="F203"/>
      <c r="G203"/>
      <c r="H203"/>
      <c r="I203"/>
      <c r="J203"/>
    </row>
    <row r="204" spans="1:10" x14ac:dyDescent="0.2">
      <c r="A204"/>
      <c r="B204"/>
      <c r="C204"/>
      <c r="D204"/>
      <c r="E204"/>
      <c r="F204"/>
      <c r="G204"/>
      <c r="H204"/>
      <c r="I204"/>
      <c r="J204"/>
    </row>
    <row r="205" spans="1:10" x14ac:dyDescent="0.2">
      <c r="A205"/>
      <c r="B205"/>
      <c r="C205"/>
      <c r="D205"/>
      <c r="E205"/>
      <c r="F205"/>
      <c r="G205"/>
      <c r="H205"/>
      <c r="I205"/>
      <c r="J205"/>
    </row>
    <row r="206" spans="1:10" x14ac:dyDescent="0.2">
      <c r="A206"/>
      <c r="B206"/>
      <c r="C206"/>
      <c r="D206"/>
      <c r="E206"/>
      <c r="F206"/>
      <c r="G206"/>
      <c r="H206"/>
      <c r="I206"/>
      <c r="J206"/>
    </row>
    <row r="207" spans="1:10" x14ac:dyDescent="0.2">
      <c r="A207"/>
      <c r="B207"/>
      <c r="C207"/>
      <c r="D207"/>
      <c r="E207"/>
      <c r="F207"/>
      <c r="G207"/>
      <c r="H207"/>
      <c r="I207"/>
      <c r="J207"/>
    </row>
    <row r="208" spans="1:10" x14ac:dyDescent="0.2">
      <c r="A208"/>
      <c r="B208"/>
      <c r="C208"/>
      <c r="D208"/>
      <c r="E208"/>
      <c r="F208"/>
      <c r="G208"/>
      <c r="H208"/>
      <c r="I208"/>
      <c r="J208"/>
    </row>
    <row r="209" spans="1:10" x14ac:dyDescent="0.2">
      <c r="A209"/>
      <c r="B209"/>
      <c r="C209"/>
      <c r="D209"/>
      <c r="E209"/>
      <c r="F209"/>
      <c r="G209"/>
      <c r="H209"/>
      <c r="I209"/>
      <c r="J209"/>
    </row>
    <row r="210" spans="1:10" x14ac:dyDescent="0.2">
      <c r="A210"/>
      <c r="B210"/>
      <c r="C210"/>
      <c r="D210"/>
      <c r="E210"/>
      <c r="F210"/>
      <c r="G210"/>
      <c r="H210"/>
      <c r="I210"/>
      <c r="J210"/>
    </row>
    <row r="211" spans="1:10" x14ac:dyDescent="0.2">
      <c r="A211"/>
      <c r="B211"/>
      <c r="C211"/>
      <c r="D211"/>
      <c r="E211"/>
      <c r="F211"/>
      <c r="G211"/>
      <c r="H211"/>
      <c r="I211"/>
      <c r="J211"/>
    </row>
    <row r="212" spans="1:10" x14ac:dyDescent="0.2">
      <c r="A212"/>
      <c r="B212"/>
      <c r="C212"/>
      <c r="D212"/>
      <c r="E212"/>
      <c r="F212"/>
      <c r="G212"/>
      <c r="H212"/>
      <c r="I212"/>
      <c r="J212"/>
    </row>
    <row r="213" spans="1:10" x14ac:dyDescent="0.2">
      <c r="A213"/>
      <c r="B213"/>
      <c r="C213"/>
      <c r="D213"/>
      <c r="E213"/>
      <c r="F213"/>
      <c r="G213"/>
      <c r="H213"/>
      <c r="I213"/>
      <c r="J213"/>
    </row>
    <row r="214" spans="1:10" x14ac:dyDescent="0.2">
      <c r="A214"/>
      <c r="B214"/>
      <c r="C214"/>
      <c r="D214"/>
      <c r="E214"/>
      <c r="F214"/>
      <c r="G214"/>
      <c r="H214"/>
      <c r="I214"/>
      <c r="J214"/>
    </row>
    <row r="215" spans="1:10" x14ac:dyDescent="0.2">
      <c r="A215"/>
      <c r="B215"/>
      <c r="C215"/>
      <c r="D215"/>
      <c r="E215"/>
      <c r="F215"/>
      <c r="G215"/>
      <c r="H215"/>
      <c r="I215"/>
      <c r="J215"/>
    </row>
    <row r="216" spans="1:10" x14ac:dyDescent="0.2">
      <c r="A216"/>
      <c r="B216"/>
      <c r="C216"/>
      <c r="D216"/>
      <c r="E216"/>
      <c r="F216"/>
      <c r="G216"/>
      <c r="H216"/>
      <c r="I216"/>
      <c r="J216"/>
    </row>
    <row r="217" spans="1:10" x14ac:dyDescent="0.2">
      <c r="A217"/>
      <c r="B217"/>
      <c r="C217"/>
      <c r="D217"/>
      <c r="E217"/>
      <c r="F217"/>
      <c r="G217"/>
      <c r="H217"/>
      <c r="I217"/>
      <c r="J217"/>
    </row>
    <row r="218" spans="1:10" x14ac:dyDescent="0.2">
      <c r="A218"/>
      <c r="B218"/>
      <c r="C218"/>
      <c r="D218"/>
      <c r="E218"/>
      <c r="F218"/>
      <c r="G218"/>
      <c r="H218"/>
      <c r="I218"/>
      <c r="J218"/>
    </row>
    <row r="219" spans="1:10" x14ac:dyDescent="0.2">
      <c r="A219"/>
      <c r="B219"/>
      <c r="C219"/>
      <c r="D219"/>
      <c r="E219"/>
      <c r="F219"/>
      <c r="G219"/>
      <c r="H219"/>
      <c r="I219"/>
      <c r="J219"/>
    </row>
    <row r="220" spans="1:10" x14ac:dyDescent="0.2">
      <c r="A220"/>
      <c r="B220"/>
      <c r="C220"/>
      <c r="D220"/>
      <c r="E220"/>
      <c r="F220"/>
      <c r="G220"/>
      <c r="H220"/>
      <c r="I220"/>
      <c r="J220"/>
    </row>
    <row r="221" spans="1:10" x14ac:dyDescent="0.2">
      <c r="A221"/>
      <c r="B221"/>
      <c r="C221"/>
      <c r="D221"/>
      <c r="E221"/>
      <c r="F221"/>
      <c r="G221"/>
      <c r="H221"/>
      <c r="I221"/>
      <c r="J221"/>
    </row>
    <row r="222" spans="1:10" x14ac:dyDescent="0.2">
      <c r="A222"/>
      <c r="B222"/>
      <c r="C222"/>
      <c r="D222"/>
      <c r="E222"/>
      <c r="F222"/>
      <c r="G222"/>
      <c r="H222"/>
      <c r="I222"/>
      <c r="J222"/>
    </row>
    <row r="223" spans="1:10" x14ac:dyDescent="0.2">
      <c r="A223"/>
      <c r="B223"/>
      <c r="C223"/>
      <c r="D223"/>
      <c r="E223"/>
      <c r="F223"/>
      <c r="G223"/>
      <c r="H223"/>
      <c r="I223"/>
      <c r="J223"/>
    </row>
    <row r="224" spans="1:10" x14ac:dyDescent="0.2">
      <c r="A224"/>
      <c r="B224"/>
      <c r="C224"/>
      <c r="D224"/>
      <c r="E224"/>
      <c r="F224"/>
      <c r="G224"/>
      <c r="H224"/>
      <c r="I224"/>
      <c r="J224"/>
    </row>
    <row r="225" spans="1:10" x14ac:dyDescent="0.2">
      <c r="A225"/>
      <c r="B225"/>
      <c r="C225"/>
      <c r="D225"/>
      <c r="E225"/>
      <c r="F225"/>
      <c r="G225"/>
      <c r="H225"/>
      <c r="I225"/>
      <c r="J225"/>
    </row>
    <row r="226" spans="1:10" x14ac:dyDescent="0.2">
      <c r="A226"/>
      <c r="B226"/>
      <c r="C226"/>
      <c r="D226"/>
      <c r="E226"/>
      <c r="F226"/>
      <c r="G226"/>
      <c r="H226"/>
      <c r="I226"/>
      <c r="J226"/>
    </row>
    <row r="227" spans="1:10" x14ac:dyDescent="0.2">
      <c r="A227"/>
      <c r="B227"/>
      <c r="C227"/>
      <c r="D227"/>
      <c r="E227"/>
      <c r="F227"/>
      <c r="G227"/>
      <c r="H227"/>
      <c r="I227"/>
      <c r="J227"/>
    </row>
    <row r="228" spans="1:10" x14ac:dyDescent="0.2">
      <c r="A228"/>
      <c r="B228"/>
      <c r="C228"/>
      <c r="D228"/>
      <c r="E228"/>
      <c r="F228"/>
      <c r="G228"/>
      <c r="H228"/>
      <c r="I228"/>
      <c r="J228"/>
    </row>
    <row r="229" spans="1:10" x14ac:dyDescent="0.2">
      <c r="A229"/>
      <c r="B229"/>
      <c r="C229"/>
      <c r="D229"/>
      <c r="E229"/>
      <c r="F229"/>
      <c r="G229"/>
      <c r="H229"/>
      <c r="I229"/>
      <c r="J229"/>
    </row>
    <row r="230" spans="1:10" x14ac:dyDescent="0.2">
      <c r="A230"/>
      <c r="B230"/>
      <c r="C230"/>
      <c r="D230"/>
      <c r="E230"/>
      <c r="F230"/>
      <c r="G230"/>
      <c r="H230"/>
      <c r="I230"/>
      <c r="J230"/>
    </row>
    <row r="231" spans="1:10" x14ac:dyDescent="0.2">
      <c r="A231"/>
      <c r="B231"/>
      <c r="C231"/>
      <c r="D231"/>
      <c r="E231"/>
      <c r="F231"/>
      <c r="G231"/>
      <c r="H231"/>
      <c r="I231"/>
      <c r="J231"/>
    </row>
    <row r="232" spans="1:10" x14ac:dyDescent="0.2">
      <c r="A232"/>
      <c r="B232"/>
      <c r="C232"/>
      <c r="D232"/>
      <c r="E232"/>
      <c r="F232"/>
      <c r="G232"/>
      <c r="H232"/>
      <c r="I232"/>
      <c r="J232"/>
    </row>
    <row r="233" spans="1:10" x14ac:dyDescent="0.2">
      <c r="A233"/>
      <c r="B233"/>
      <c r="C233"/>
      <c r="D233"/>
      <c r="E233"/>
      <c r="F233"/>
      <c r="G233"/>
      <c r="H233"/>
      <c r="I233"/>
      <c r="J233"/>
    </row>
    <row r="234" spans="1:10" x14ac:dyDescent="0.2">
      <c r="A234"/>
      <c r="B234"/>
      <c r="C234"/>
      <c r="D234"/>
      <c r="E234"/>
      <c r="F234"/>
      <c r="G234"/>
      <c r="H234"/>
      <c r="I234"/>
      <c r="J234"/>
    </row>
    <row r="235" spans="1:10" x14ac:dyDescent="0.2">
      <c r="A235"/>
      <c r="B235"/>
      <c r="C235"/>
      <c r="D235"/>
      <c r="E235"/>
      <c r="F235"/>
      <c r="G235"/>
      <c r="H235"/>
      <c r="I235"/>
      <c r="J235"/>
    </row>
    <row r="236" spans="1:10" x14ac:dyDescent="0.2">
      <c r="A236"/>
      <c r="B236"/>
      <c r="C236"/>
      <c r="D236"/>
      <c r="E236"/>
      <c r="F236"/>
      <c r="G236"/>
      <c r="H236"/>
      <c r="I236"/>
      <c r="J236"/>
    </row>
    <row r="237" spans="1:10" x14ac:dyDescent="0.2">
      <c r="A237"/>
      <c r="B237"/>
      <c r="C237"/>
      <c r="D237"/>
      <c r="E237"/>
      <c r="F237"/>
      <c r="G237"/>
      <c r="H237"/>
      <c r="I237"/>
      <c r="J237"/>
    </row>
    <row r="238" spans="1:10" x14ac:dyDescent="0.2">
      <c r="A238"/>
      <c r="B238"/>
      <c r="C238"/>
      <c r="D238"/>
      <c r="E238"/>
      <c r="F238"/>
      <c r="G238"/>
      <c r="H238"/>
      <c r="I238"/>
      <c r="J238"/>
    </row>
    <row r="239" spans="1:10" x14ac:dyDescent="0.2">
      <c r="A239"/>
      <c r="B239"/>
      <c r="C239"/>
      <c r="D239"/>
      <c r="E239"/>
      <c r="F239"/>
      <c r="G239"/>
      <c r="H239"/>
      <c r="I239"/>
      <c r="J239"/>
    </row>
    <row r="240" spans="1:10" x14ac:dyDescent="0.2">
      <c r="A240"/>
      <c r="B240"/>
      <c r="C240"/>
      <c r="D240"/>
      <c r="E240"/>
      <c r="F240"/>
      <c r="G240"/>
      <c r="H240"/>
      <c r="I240"/>
      <c r="J240"/>
    </row>
    <row r="241" spans="1:10" x14ac:dyDescent="0.2">
      <c r="A241"/>
      <c r="B241"/>
      <c r="C241"/>
      <c r="D241"/>
      <c r="E241"/>
      <c r="F241"/>
      <c r="G241"/>
      <c r="H241"/>
      <c r="I241"/>
      <c r="J241"/>
    </row>
    <row r="242" spans="1:10" x14ac:dyDescent="0.2">
      <c r="A242"/>
      <c r="B242"/>
      <c r="C242"/>
      <c r="D242"/>
      <c r="E242"/>
      <c r="F242"/>
      <c r="G242"/>
      <c r="H242"/>
      <c r="I242"/>
      <c r="J242"/>
    </row>
    <row r="243" spans="1:10" x14ac:dyDescent="0.2">
      <c r="A243"/>
      <c r="B243"/>
      <c r="C243"/>
      <c r="D243"/>
      <c r="E243"/>
      <c r="F243"/>
      <c r="G243"/>
      <c r="H243"/>
      <c r="I243"/>
      <c r="J243"/>
    </row>
    <row r="244" spans="1:10" x14ac:dyDescent="0.2">
      <c r="A244"/>
      <c r="B244"/>
      <c r="C244"/>
      <c r="D244"/>
      <c r="E244"/>
      <c r="F244"/>
      <c r="G244"/>
      <c r="H244"/>
      <c r="I244"/>
      <c r="J244"/>
    </row>
    <row r="245" spans="1:10" x14ac:dyDescent="0.2">
      <c r="A245"/>
      <c r="B245"/>
      <c r="C245"/>
      <c r="D245"/>
      <c r="E245"/>
      <c r="F245"/>
      <c r="G245"/>
      <c r="H245"/>
      <c r="I245"/>
      <c r="J245"/>
    </row>
    <row r="246" spans="1:10" x14ac:dyDescent="0.2">
      <c r="A246"/>
      <c r="B246"/>
      <c r="C246"/>
      <c r="D246"/>
      <c r="E246"/>
      <c r="F246"/>
      <c r="G246"/>
      <c r="H246"/>
      <c r="I246"/>
      <c r="J246"/>
    </row>
    <row r="247" spans="1:10" x14ac:dyDescent="0.2">
      <c r="A247"/>
      <c r="B247"/>
      <c r="C247"/>
      <c r="D247"/>
      <c r="E247"/>
      <c r="F247"/>
      <c r="G247"/>
      <c r="H247"/>
      <c r="I247"/>
      <c r="J247"/>
    </row>
    <row r="248" spans="1:10" x14ac:dyDescent="0.2">
      <c r="A248"/>
      <c r="B248"/>
      <c r="C248"/>
      <c r="D248"/>
      <c r="E248"/>
      <c r="F248"/>
      <c r="G248"/>
      <c r="H248"/>
      <c r="I248"/>
      <c r="J248"/>
    </row>
    <row r="249" spans="1:10" x14ac:dyDescent="0.2">
      <c r="A249"/>
      <c r="B249"/>
      <c r="C249"/>
      <c r="D249"/>
      <c r="E249"/>
      <c r="F249"/>
      <c r="G249"/>
      <c r="H249"/>
      <c r="I249"/>
      <c r="J249"/>
    </row>
    <row r="250" spans="1:10" x14ac:dyDescent="0.2">
      <c r="A250"/>
      <c r="B250"/>
      <c r="C250"/>
      <c r="D250"/>
      <c r="E250"/>
      <c r="F250"/>
      <c r="G250"/>
      <c r="H250"/>
      <c r="I250"/>
      <c r="J250"/>
    </row>
    <row r="251" spans="1:10" x14ac:dyDescent="0.2">
      <c r="A251"/>
      <c r="B251"/>
      <c r="C251"/>
      <c r="D251"/>
      <c r="E251"/>
      <c r="F251"/>
      <c r="G251"/>
      <c r="H251"/>
      <c r="I251"/>
      <c r="J251"/>
    </row>
    <row r="252" spans="1:10" x14ac:dyDescent="0.2">
      <c r="A252"/>
      <c r="B252"/>
      <c r="C252"/>
      <c r="D252"/>
      <c r="E252"/>
      <c r="F252"/>
      <c r="G252"/>
      <c r="H252"/>
      <c r="I252"/>
      <c r="J252"/>
    </row>
    <row r="253" spans="1:10" x14ac:dyDescent="0.2">
      <c r="A253"/>
      <c r="B253"/>
      <c r="C253"/>
      <c r="D253"/>
      <c r="E253"/>
      <c r="F253"/>
      <c r="G253"/>
      <c r="H253"/>
      <c r="I253"/>
      <c r="J253"/>
    </row>
    <row r="254" spans="1:10" x14ac:dyDescent="0.2">
      <c r="A254"/>
      <c r="B254"/>
      <c r="C254"/>
      <c r="D254"/>
      <c r="E254"/>
      <c r="F254"/>
      <c r="G254"/>
      <c r="H254"/>
      <c r="I254"/>
      <c r="J254"/>
    </row>
    <row r="255" spans="1:10" x14ac:dyDescent="0.2">
      <c r="A255"/>
      <c r="B255"/>
      <c r="C255"/>
      <c r="D255"/>
      <c r="E255"/>
      <c r="F255"/>
      <c r="G255"/>
      <c r="H255"/>
      <c r="I255"/>
      <c r="J255"/>
    </row>
    <row r="256" spans="1:10" x14ac:dyDescent="0.2">
      <c r="A256"/>
      <c r="B256"/>
      <c r="C256"/>
      <c r="D256"/>
      <c r="E256"/>
      <c r="F256"/>
      <c r="G256"/>
      <c r="H256"/>
      <c r="I256"/>
      <c r="J256"/>
    </row>
    <row r="257" spans="1:10" x14ac:dyDescent="0.2">
      <c r="A257"/>
      <c r="B257"/>
      <c r="C257"/>
      <c r="D257"/>
      <c r="E257"/>
      <c r="F257"/>
      <c r="G257"/>
      <c r="H257"/>
      <c r="I257"/>
      <c r="J257"/>
    </row>
    <row r="258" spans="1:10" x14ac:dyDescent="0.2">
      <c r="A258"/>
      <c r="B258"/>
      <c r="C258"/>
      <c r="D258"/>
      <c r="E258"/>
      <c r="F258"/>
      <c r="G258"/>
      <c r="H258"/>
      <c r="I258"/>
      <c r="J258"/>
    </row>
  </sheetData>
  <mergeCells count="1">
    <mergeCell ref="A1:J1"/>
  </mergeCells>
  <pageMargins left="0.25" right="0.25" top="0.75" bottom="0.75" header="0.3" footer="0.3"/>
  <pageSetup scale="49" fitToHeight="2" orientation="portrait" horizontalDpi="0" verticalDpi="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513AD-E88A-C54E-AB45-52148A29147A}">
  <sheetPr filterMode="1">
    <pageSetUpPr fitToPage="1"/>
  </sheetPr>
  <dimension ref="A1:T81"/>
  <sheetViews>
    <sheetView zoomScaleNormal="100" workbookViewId="0">
      <selection activeCell="A2" sqref="A2"/>
    </sheetView>
  </sheetViews>
  <sheetFormatPr baseColWidth="10" defaultRowHeight="16" x14ac:dyDescent="0.2"/>
  <cols>
    <col min="1" max="1" width="25.5" style="106" customWidth="1"/>
    <col min="2" max="2" width="8" style="108" bestFit="1" customWidth="1"/>
    <col min="3" max="3" width="8" style="108" customWidth="1"/>
    <col min="4" max="4" width="6" style="108" bestFit="1" customWidth="1"/>
    <col min="5" max="5" width="8.83203125" style="108" bestFit="1" customWidth="1"/>
    <col min="6" max="6" width="5.1640625" style="108" bestFit="1" customWidth="1"/>
    <col min="7" max="7" width="17.6640625" style="108" bestFit="1" customWidth="1"/>
    <col min="8" max="8" width="13.1640625" style="108" bestFit="1" customWidth="1"/>
    <col min="9" max="10" width="11.1640625" style="108" bestFit="1" customWidth="1"/>
    <col min="11" max="11" width="18.6640625" style="108" bestFit="1" customWidth="1"/>
    <col min="12" max="12" width="48.1640625" style="109" bestFit="1" customWidth="1"/>
    <col min="13" max="13" width="12" style="108" bestFit="1" customWidth="1"/>
    <col min="14" max="14" width="12.6640625" style="108" customWidth="1"/>
    <col min="15" max="15" width="4.1640625" style="108" bestFit="1" customWidth="1"/>
    <col min="16" max="16" width="18.83203125" style="108" customWidth="1"/>
    <col min="17" max="16384" width="10.83203125" style="430"/>
  </cols>
  <sheetData>
    <row r="1" spans="1:16" s="351" customFormat="1" ht="55" customHeight="1" x14ac:dyDescent="0.2">
      <c r="A1" s="448" t="s">
        <v>1326</v>
      </c>
      <c r="B1" s="448"/>
      <c r="C1" s="448"/>
      <c r="D1" s="448"/>
      <c r="E1" s="448"/>
      <c r="F1" s="448"/>
      <c r="G1" s="448"/>
      <c r="H1" s="448"/>
      <c r="I1" s="448"/>
      <c r="J1" s="448"/>
      <c r="K1" s="448"/>
      <c r="L1" s="448"/>
      <c r="M1" s="448"/>
      <c r="N1" s="448"/>
      <c r="O1" s="448"/>
      <c r="P1" s="448"/>
    </row>
    <row r="2" spans="1:16" s="351" customFormat="1" x14ac:dyDescent="0.2">
      <c r="A2" s="349"/>
      <c r="B2" s="425"/>
      <c r="C2" s="425"/>
      <c r="D2" s="425"/>
      <c r="E2" s="353"/>
      <c r="F2" s="353"/>
      <c r="G2" s="353"/>
      <c r="J2" s="352"/>
      <c r="M2" s="353"/>
      <c r="N2" s="353"/>
      <c r="O2" s="353"/>
      <c r="P2" s="353"/>
    </row>
    <row r="3" spans="1:16" s="391" customFormat="1" x14ac:dyDescent="0.2">
      <c r="M3" s="457" t="s">
        <v>763</v>
      </c>
      <c r="N3" s="457"/>
    </row>
    <row r="4" spans="1:16" s="391" customFormat="1" ht="34" x14ac:dyDescent="0.2">
      <c r="A4" s="99" t="s">
        <v>465</v>
      </c>
      <c r="B4" s="131" t="s">
        <v>764</v>
      </c>
      <c r="C4" s="131" t="s">
        <v>765</v>
      </c>
      <c r="D4" s="131" t="s">
        <v>766</v>
      </c>
      <c r="E4" s="131" t="s">
        <v>767</v>
      </c>
      <c r="F4" s="131" t="s">
        <v>768</v>
      </c>
      <c r="G4" s="131" t="s">
        <v>551</v>
      </c>
      <c r="H4" s="131" t="s">
        <v>769</v>
      </c>
      <c r="I4" s="131" t="s">
        <v>770</v>
      </c>
      <c r="J4" s="98" t="s">
        <v>771</v>
      </c>
      <c r="K4" s="98" t="s">
        <v>772</v>
      </c>
      <c r="L4" s="130" t="s">
        <v>375</v>
      </c>
      <c r="M4" s="131" t="s">
        <v>773</v>
      </c>
      <c r="N4" s="131" t="s">
        <v>380</v>
      </c>
      <c r="O4" s="131" t="s">
        <v>552</v>
      </c>
      <c r="P4" s="131" t="s">
        <v>774</v>
      </c>
    </row>
    <row r="5" spans="1:16" s="428" customFormat="1" ht="17" x14ac:dyDescent="0.2">
      <c r="A5" s="426" t="s">
        <v>775</v>
      </c>
      <c r="B5" s="355"/>
      <c r="C5" s="355"/>
      <c r="D5" s="355" t="s">
        <v>776</v>
      </c>
      <c r="E5" s="355" t="s">
        <v>777</v>
      </c>
      <c r="F5" s="355" t="s">
        <v>778</v>
      </c>
      <c r="G5" s="355" t="s">
        <v>775</v>
      </c>
      <c r="H5" s="355"/>
      <c r="I5" s="355"/>
      <c r="J5" s="355"/>
      <c r="K5" s="355"/>
      <c r="L5" s="427" t="s">
        <v>1278</v>
      </c>
      <c r="M5" s="355">
        <v>5</v>
      </c>
      <c r="N5" s="355">
        <v>0.25</v>
      </c>
      <c r="O5" s="355">
        <v>1</v>
      </c>
      <c r="P5" s="355">
        <f t="shared" ref="P5:P68" si="0">O5*((M5*16)+N5)</f>
        <v>80.25</v>
      </c>
    </row>
    <row r="6" spans="1:16" ht="17" x14ac:dyDescent="0.2">
      <c r="A6" s="429" t="s">
        <v>1012</v>
      </c>
      <c r="B6" s="140"/>
      <c r="C6" s="140"/>
      <c r="D6" s="140" t="s">
        <v>776</v>
      </c>
      <c r="E6" s="140" t="s">
        <v>777</v>
      </c>
      <c r="F6" s="140" t="s">
        <v>778</v>
      </c>
      <c r="G6" s="140" t="s">
        <v>782</v>
      </c>
      <c r="H6" s="140" t="s">
        <v>783</v>
      </c>
      <c r="I6" s="140"/>
      <c r="J6" s="140"/>
      <c r="K6" s="140"/>
      <c r="L6" s="144"/>
      <c r="M6" s="140">
        <v>0</v>
      </c>
      <c r="N6" s="140">
        <f>9+1/2</f>
        <v>9.5</v>
      </c>
      <c r="O6" s="140">
        <v>1</v>
      </c>
      <c r="P6" s="355">
        <f t="shared" si="0"/>
        <v>9.5</v>
      </c>
    </row>
    <row r="7" spans="1:16" s="431" customFormat="1" ht="17" x14ac:dyDescent="0.2">
      <c r="A7" s="429" t="s">
        <v>1264</v>
      </c>
      <c r="B7" s="140"/>
      <c r="C7" s="140"/>
      <c r="D7" s="140" t="s">
        <v>776</v>
      </c>
      <c r="E7" s="140" t="s">
        <v>777</v>
      </c>
      <c r="F7" s="140" t="s">
        <v>778</v>
      </c>
      <c r="G7" s="140" t="s">
        <v>782</v>
      </c>
      <c r="H7" s="140" t="s">
        <v>783</v>
      </c>
      <c r="I7" s="140"/>
      <c r="J7" s="140"/>
      <c r="K7" s="140"/>
      <c r="L7" s="144"/>
      <c r="M7" s="140">
        <v>0</v>
      </c>
      <c r="N7" s="140">
        <f>6+3/8</f>
        <v>6.375</v>
      </c>
      <c r="O7" s="140">
        <v>1</v>
      </c>
      <c r="P7" s="140">
        <f t="shared" si="0"/>
        <v>6.375</v>
      </c>
    </row>
    <row r="8" spans="1:16" s="428" customFormat="1" ht="17" x14ac:dyDescent="0.2">
      <c r="A8" s="426" t="s">
        <v>1263</v>
      </c>
      <c r="B8" s="355"/>
      <c r="C8" s="355"/>
      <c r="D8" s="355" t="s">
        <v>776</v>
      </c>
      <c r="E8" s="355" t="s">
        <v>777</v>
      </c>
      <c r="F8" s="355" t="s">
        <v>778</v>
      </c>
      <c r="G8" s="355" t="s">
        <v>782</v>
      </c>
      <c r="H8" s="355" t="s">
        <v>783</v>
      </c>
      <c r="I8" s="355" t="s">
        <v>779</v>
      </c>
      <c r="J8" s="355"/>
      <c r="K8" s="355"/>
      <c r="L8" s="427" t="s">
        <v>1279</v>
      </c>
      <c r="M8" s="355">
        <v>0</v>
      </c>
      <c r="N8" s="355">
        <f>11+(3/8)</f>
        <v>11.375</v>
      </c>
      <c r="O8" s="355">
        <v>1</v>
      </c>
      <c r="P8" s="355">
        <f t="shared" si="0"/>
        <v>11.375</v>
      </c>
    </row>
    <row r="9" spans="1:16" s="428" customFormat="1" ht="17" x14ac:dyDescent="0.2">
      <c r="A9" s="426" t="s">
        <v>1265</v>
      </c>
      <c r="B9" s="355"/>
      <c r="C9" s="355"/>
      <c r="D9" s="355" t="s">
        <v>776</v>
      </c>
      <c r="E9" s="355" t="s">
        <v>777</v>
      </c>
      <c r="F9" s="355" t="s">
        <v>778</v>
      </c>
      <c r="G9" s="355" t="s">
        <v>782</v>
      </c>
      <c r="H9" s="355" t="s">
        <v>783</v>
      </c>
      <c r="I9" s="355"/>
      <c r="J9" s="355"/>
      <c r="K9" s="355"/>
      <c r="L9" s="427" t="s">
        <v>1280</v>
      </c>
      <c r="M9" s="355">
        <v>1</v>
      </c>
      <c r="N9" s="355">
        <f>7/8</f>
        <v>0.875</v>
      </c>
      <c r="O9" s="355">
        <v>1</v>
      </c>
      <c r="P9" s="355">
        <f t="shared" si="0"/>
        <v>16.875</v>
      </c>
    </row>
    <row r="10" spans="1:16" s="428" customFormat="1" ht="34" x14ac:dyDescent="0.2">
      <c r="A10" s="426" t="s">
        <v>1266</v>
      </c>
      <c r="B10" s="355"/>
      <c r="C10" s="355"/>
      <c r="D10" s="355" t="s">
        <v>776</v>
      </c>
      <c r="E10" s="355" t="s">
        <v>777</v>
      </c>
      <c r="F10" s="355" t="s">
        <v>778</v>
      </c>
      <c r="G10" s="355" t="s">
        <v>782</v>
      </c>
      <c r="H10" s="355" t="s">
        <v>805</v>
      </c>
      <c r="I10" s="355" t="s">
        <v>779</v>
      </c>
      <c r="J10" s="355"/>
      <c r="K10" s="355"/>
      <c r="L10" s="427" t="s">
        <v>1281</v>
      </c>
      <c r="M10" s="355">
        <v>0</v>
      </c>
      <c r="N10" s="355">
        <f>2+(7/8)</f>
        <v>2.875</v>
      </c>
      <c r="O10" s="355">
        <v>1</v>
      </c>
      <c r="P10" s="355">
        <f t="shared" si="0"/>
        <v>2.875</v>
      </c>
    </row>
    <row r="11" spans="1:16" s="428" customFormat="1" ht="34" x14ac:dyDescent="0.2">
      <c r="A11" s="426" t="s">
        <v>1123</v>
      </c>
      <c r="B11" s="355"/>
      <c r="C11" s="355"/>
      <c r="D11" s="355" t="s">
        <v>776</v>
      </c>
      <c r="E11" s="355" t="s">
        <v>777</v>
      </c>
      <c r="F11" s="355" t="s">
        <v>778</v>
      </c>
      <c r="G11" s="355" t="s">
        <v>782</v>
      </c>
      <c r="H11" s="355" t="s">
        <v>805</v>
      </c>
      <c r="I11" s="355" t="s">
        <v>779</v>
      </c>
      <c r="J11" s="355"/>
      <c r="K11" s="355"/>
      <c r="L11" s="427" t="s">
        <v>1124</v>
      </c>
      <c r="M11" s="355">
        <v>0</v>
      </c>
      <c r="N11" s="355">
        <f>3+(1/2)</f>
        <v>3.5</v>
      </c>
      <c r="O11" s="355">
        <v>1</v>
      </c>
      <c r="P11" s="355">
        <f t="shared" si="0"/>
        <v>3.5</v>
      </c>
    </row>
    <row r="12" spans="1:16" s="428" customFormat="1" ht="17" x14ac:dyDescent="0.2">
      <c r="A12" s="426" t="s">
        <v>1267</v>
      </c>
      <c r="B12" s="355"/>
      <c r="C12" s="355"/>
      <c r="D12" s="355" t="s">
        <v>776</v>
      </c>
      <c r="E12" s="355" t="s">
        <v>777</v>
      </c>
      <c r="F12" s="355" t="s">
        <v>778</v>
      </c>
      <c r="G12" s="355" t="s">
        <v>782</v>
      </c>
      <c r="H12" s="355" t="s">
        <v>805</v>
      </c>
      <c r="I12" s="355" t="s">
        <v>779</v>
      </c>
      <c r="J12" s="355"/>
      <c r="K12" s="355"/>
      <c r="L12" s="427" t="s">
        <v>1282</v>
      </c>
      <c r="M12" s="355">
        <v>0</v>
      </c>
      <c r="N12" s="355">
        <f>2+(5/8)</f>
        <v>2.625</v>
      </c>
      <c r="O12" s="355">
        <v>1</v>
      </c>
      <c r="P12" s="355">
        <f t="shared" si="0"/>
        <v>2.625</v>
      </c>
    </row>
    <row r="13" spans="1:16" s="428" customFormat="1" ht="17" x14ac:dyDescent="0.2">
      <c r="A13" s="426" t="s">
        <v>1267</v>
      </c>
      <c r="B13" s="355"/>
      <c r="C13" s="355"/>
      <c r="D13" s="355" t="s">
        <v>776</v>
      </c>
      <c r="E13" s="355" t="s">
        <v>777</v>
      </c>
      <c r="F13" s="355" t="s">
        <v>778</v>
      </c>
      <c r="G13" s="355" t="s">
        <v>782</v>
      </c>
      <c r="H13" s="355" t="s">
        <v>805</v>
      </c>
      <c r="I13" s="355" t="s">
        <v>779</v>
      </c>
      <c r="J13" s="355"/>
      <c r="K13" s="355"/>
      <c r="L13" s="427" t="s">
        <v>1282</v>
      </c>
      <c r="M13" s="355">
        <v>0</v>
      </c>
      <c r="N13" s="355">
        <f>2+(5/8)</f>
        <v>2.625</v>
      </c>
      <c r="O13" s="355">
        <v>1</v>
      </c>
      <c r="P13" s="355">
        <f t="shared" si="0"/>
        <v>2.625</v>
      </c>
    </row>
    <row r="14" spans="1:16" s="428" customFormat="1" ht="17" x14ac:dyDescent="0.2">
      <c r="A14" s="426" t="s">
        <v>816</v>
      </c>
      <c r="B14" s="355"/>
      <c r="C14" s="355"/>
      <c r="D14" s="355" t="s">
        <v>776</v>
      </c>
      <c r="E14" s="355" t="s">
        <v>777</v>
      </c>
      <c r="F14" s="355" t="s">
        <v>778</v>
      </c>
      <c r="G14" s="355" t="s">
        <v>782</v>
      </c>
      <c r="H14" s="355" t="s">
        <v>817</v>
      </c>
      <c r="I14" s="355" t="s">
        <v>779</v>
      </c>
      <c r="J14" s="355"/>
      <c r="K14" s="355"/>
      <c r="L14" s="427" t="s">
        <v>1118</v>
      </c>
      <c r="M14" s="355">
        <v>0</v>
      </c>
      <c r="N14" s="355">
        <f>11+(1/8)</f>
        <v>11.125</v>
      </c>
      <c r="O14" s="355">
        <v>1</v>
      </c>
      <c r="P14" s="355">
        <f t="shared" si="0"/>
        <v>11.125</v>
      </c>
    </row>
    <row r="15" spans="1:16" s="428" customFormat="1" ht="17" x14ac:dyDescent="0.2">
      <c r="A15" s="426" t="s">
        <v>1119</v>
      </c>
      <c r="B15" s="355"/>
      <c r="C15" s="355"/>
      <c r="D15" s="355" t="s">
        <v>776</v>
      </c>
      <c r="E15" s="355" t="s">
        <v>777</v>
      </c>
      <c r="F15" s="355" t="s">
        <v>778</v>
      </c>
      <c r="G15" s="355" t="s">
        <v>822</v>
      </c>
      <c r="H15" s="355" t="s">
        <v>805</v>
      </c>
      <c r="I15" s="355"/>
      <c r="J15" s="355"/>
      <c r="K15" s="355"/>
      <c r="L15" s="427" t="s">
        <v>1283</v>
      </c>
      <c r="M15" s="355">
        <v>0</v>
      </c>
      <c r="N15" s="355">
        <f>3+(3/8)</f>
        <v>3.375</v>
      </c>
      <c r="O15" s="355">
        <v>1</v>
      </c>
      <c r="P15" s="355">
        <f t="shared" si="0"/>
        <v>3.375</v>
      </c>
    </row>
    <row r="16" spans="1:16" s="428" customFormat="1" ht="17" x14ac:dyDescent="0.2">
      <c r="A16" s="426" t="s">
        <v>1284</v>
      </c>
      <c r="B16" s="355"/>
      <c r="C16" s="355"/>
      <c r="D16" s="355" t="s">
        <v>776</v>
      </c>
      <c r="E16" s="355" t="s">
        <v>777</v>
      </c>
      <c r="F16" s="355" t="s">
        <v>870</v>
      </c>
      <c r="G16" s="355" t="s">
        <v>822</v>
      </c>
      <c r="H16" s="355" t="s">
        <v>805</v>
      </c>
      <c r="I16" s="355"/>
      <c r="J16" s="355"/>
      <c r="K16" s="355"/>
      <c r="L16" s="427" t="s">
        <v>1285</v>
      </c>
      <c r="M16" s="355">
        <v>0</v>
      </c>
      <c r="N16" s="355">
        <v>3</v>
      </c>
      <c r="O16" s="355">
        <v>1</v>
      </c>
      <c r="P16" s="355">
        <f t="shared" si="0"/>
        <v>3</v>
      </c>
    </row>
    <row r="17" spans="1:20" s="391" customFormat="1" ht="17" x14ac:dyDescent="0.2">
      <c r="A17" s="426" t="s">
        <v>1286</v>
      </c>
      <c r="B17" s="355"/>
      <c r="C17" s="355"/>
      <c r="D17" s="355" t="s">
        <v>776</v>
      </c>
      <c r="E17" s="355" t="s">
        <v>777</v>
      </c>
      <c r="F17" s="355" t="s">
        <v>778</v>
      </c>
      <c r="G17" s="355" t="s">
        <v>822</v>
      </c>
      <c r="H17" s="355" t="s">
        <v>805</v>
      </c>
      <c r="I17" s="355" t="s">
        <v>779</v>
      </c>
      <c r="J17" s="355"/>
      <c r="K17" s="355"/>
      <c r="L17" s="159" t="s">
        <v>1287</v>
      </c>
      <c r="M17" s="355">
        <v>1</v>
      </c>
      <c r="N17" s="355">
        <f>1/8</f>
        <v>0.125</v>
      </c>
      <c r="O17" s="355">
        <v>1</v>
      </c>
      <c r="P17" s="355">
        <f t="shared" si="0"/>
        <v>16.125</v>
      </c>
    </row>
    <row r="18" spans="1:20" s="428" customFormat="1" ht="17" x14ac:dyDescent="0.2">
      <c r="A18" s="426" t="s">
        <v>1288</v>
      </c>
      <c r="B18" s="355"/>
      <c r="C18" s="355"/>
      <c r="D18" s="355" t="s">
        <v>776</v>
      </c>
      <c r="E18" s="355" t="s">
        <v>777</v>
      </c>
      <c r="F18" s="355" t="s">
        <v>870</v>
      </c>
      <c r="G18" s="355" t="s">
        <v>822</v>
      </c>
      <c r="H18" s="355" t="s">
        <v>805</v>
      </c>
      <c r="I18" s="355" t="s">
        <v>779</v>
      </c>
      <c r="J18" s="355"/>
      <c r="K18" s="355"/>
      <c r="L18" s="427" t="s">
        <v>1289</v>
      </c>
      <c r="M18" s="355">
        <v>0</v>
      </c>
      <c r="N18" s="355">
        <f>8+(1/2)</f>
        <v>8.5</v>
      </c>
      <c r="O18" s="355">
        <v>1</v>
      </c>
      <c r="P18" s="355">
        <f t="shared" si="0"/>
        <v>8.5</v>
      </c>
    </row>
    <row r="19" spans="1:20" s="428" customFormat="1" ht="34" x14ac:dyDescent="0.2">
      <c r="A19" s="426" t="s">
        <v>1290</v>
      </c>
      <c r="B19" s="355"/>
      <c r="C19" s="355"/>
      <c r="D19" s="355" t="s">
        <v>776</v>
      </c>
      <c r="E19" s="355" t="s">
        <v>777</v>
      </c>
      <c r="F19" s="355" t="s">
        <v>778</v>
      </c>
      <c r="G19" s="355" t="s">
        <v>822</v>
      </c>
      <c r="H19" s="355" t="s">
        <v>805</v>
      </c>
      <c r="I19" s="355" t="s">
        <v>779</v>
      </c>
      <c r="J19" s="355"/>
      <c r="K19" s="355"/>
      <c r="L19" s="427" t="s">
        <v>1291</v>
      </c>
      <c r="M19" s="355">
        <v>0</v>
      </c>
      <c r="N19" s="355">
        <f>3+(1/2)</f>
        <v>3.5</v>
      </c>
      <c r="O19" s="355">
        <v>1</v>
      </c>
      <c r="P19" s="355">
        <f t="shared" si="0"/>
        <v>3.5</v>
      </c>
    </row>
    <row r="20" spans="1:20" s="428" customFormat="1" ht="34" x14ac:dyDescent="0.2">
      <c r="A20" s="426" t="s">
        <v>821</v>
      </c>
      <c r="B20" s="355"/>
      <c r="C20" s="355"/>
      <c r="D20" s="355" t="s">
        <v>776</v>
      </c>
      <c r="E20" s="355" t="s">
        <v>777</v>
      </c>
      <c r="F20" s="355" t="s">
        <v>870</v>
      </c>
      <c r="G20" s="355" t="s">
        <v>822</v>
      </c>
      <c r="H20" s="355" t="s">
        <v>805</v>
      </c>
      <c r="I20" s="355"/>
      <c r="J20" s="355"/>
      <c r="K20" s="355"/>
      <c r="L20" s="427" t="s">
        <v>1025</v>
      </c>
      <c r="M20" s="355">
        <v>0</v>
      </c>
      <c r="N20" s="355">
        <f>2+(7/8)</f>
        <v>2.875</v>
      </c>
      <c r="O20" s="355">
        <v>1</v>
      </c>
      <c r="P20" s="355">
        <f t="shared" si="0"/>
        <v>2.875</v>
      </c>
    </row>
    <row r="21" spans="1:20" s="428" customFormat="1" ht="17" x14ac:dyDescent="0.2">
      <c r="A21" s="426" t="s">
        <v>1292</v>
      </c>
      <c r="B21" s="355"/>
      <c r="C21" s="355"/>
      <c r="D21" s="355" t="s">
        <v>776</v>
      </c>
      <c r="E21" s="355" t="s">
        <v>777</v>
      </c>
      <c r="F21" s="355" t="s">
        <v>778</v>
      </c>
      <c r="G21" s="355" t="s">
        <v>822</v>
      </c>
      <c r="H21" s="355" t="s">
        <v>805</v>
      </c>
      <c r="I21" s="355" t="s">
        <v>779</v>
      </c>
      <c r="J21" s="355"/>
      <c r="K21" s="355"/>
      <c r="L21" s="427" t="s">
        <v>1293</v>
      </c>
      <c r="M21" s="355">
        <v>0</v>
      </c>
      <c r="N21" s="355">
        <f>2+(3/8)</f>
        <v>2.375</v>
      </c>
      <c r="O21" s="355">
        <v>1</v>
      </c>
      <c r="P21" s="355">
        <f t="shared" si="0"/>
        <v>2.375</v>
      </c>
    </row>
    <row r="22" spans="1:20" s="428" customFormat="1" ht="17" x14ac:dyDescent="0.2">
      <c r="A22" s="426" t="s">
        <v>1294</v>
      </c>
      <c r="B22" s="355"/>
      <c r="C22" s="355"/>
      <c r="D22" s="355" t="s">
        <v>776</v>
      </c>
      <c r="E22" s="355" t="s">
        <v>777</v>
      </c>
      <c r="F22" s="355" t="s">
        <v>870</v>
      </c>
      <c r="G22" s="355" t="s">
        <v>822</v>
      </c>
      <c r="H22" s="355" t="s">
        <v>817</v>
      </c>
      <c r="I22" s="355" t="s">
        <v>794</v>
      </c>
      <c r="J22" s="355"/>
      <c r="K22" s="355"/>
      <c r="L22" s="427" t="s">
        <v>1295</v>
      </c>
      <c r="M22" s="355">
        <v>0</v>
      </c>
      <c r="N22" s="355">
        <f>5/8</f>
        <v>0.625</v>
      </c>
      <c r="O22" s="355">
        <v>1</v>
      </c>
      <c r="P22" s="355">
        <f t="shared" si="0"/>
        <v>0.625</v>
      </c>
    </row>
    <row r="23" spans="1:20" s="362" customFormat="1" ht="17" x14ac:dyDescent="0.2">
      <c r="A23" s="373" t="s">
        <v>555</v>
      </c>
      <c r="B23" s="140"/>
      <c r="C23" s="140"/>
      <c r="D23" s="140" t="s">
        <v>776</v>
      </c>
      <c r="E23" s="374" t="s">
        <v>777</v>
      </c>
      <c r="F23" s="374" t="s">
        <v>778</v>
      </c>
      <c r="G23" s="374" t="s">
        <v>1027</v>
      </c>
      <c r="H23" s="375"/>
      <c r="I23" s="375"/>
      <c r="J23" s="376"/>
      <c r="K23" s="375" t="s">
        <v>807</v>
      </c>
      <c r="L23" s="375" t="s">
        <v>880</v>
      </c>
      <c r="M23" s="374">
        <v>22</v>
      </c>
      <c r="N23" s="374">
        <v>0</v>
      </c>
      <c r="O23" s="374">
        <v>1</v>
      </c>
      <c r="P23" s="140">
        <f t="shared" si="0"/>
        <v>352</v>
      </c>
      <c r="Q23" s="357"/>
      <c r="R23" s="357"/>
      <c r="S23" s="357"/>
      <c r="T23" s="357"/>
    </row>
    <row r="24" spans="1:20" s="351" customFormat="1" ht="17" x14ac:dyDescent="0.2">
      <c r="A24" s="373" t="s">
        <v>881</v>
      </c>
      <c r="B24" s="140"/>
      <c r="C24" s="140"/>
      <c r="D24" s="140" t="s">
        <v>776</v>
      </c>
      <c r="E24" s="374" t="s">
        <v>777</v>
      </c>
      <c r="F24" s="374" t="s">
        <v>778</v>
      </c>
      <c r="G24" s="374" t="s">
        <v>1027</v>
      </c>
      <c r="H24" s="375"/>
      <c r="I24" s="375"/>
      <c r="J24" s="376"/>
      <c r="K24" s="375" t="s">
        <v>807</v>
      </c>
      <c r="L24" s="375" t="s">
        <v>882</v>
      </c>
      <c r="M24" s="374">
        <v>0</v>
      </c>
      <c r="N24" s="374">
        <v>13.375</v>
      </c>
      <c r="O24" s="374">
        <v>1</v>
      </c>
      <c r="P24" s="374">
        <f>O24*((M24*16)+N24)</f>
        <v>13.375</v>
      </c>
      <c r="Q24" s="362"/>
      <c r="R24" s="361"/>
      <c r="S24" s="362"/>
      <c r="T24" s="362"/>
    </row>
    <row r="25" spans="1:20" s="428" customFormat="1" ht="17" x14ac:dyDescent="0.2">
      <c r="A25" s="354" t="s">
        <v>877</v>
      </c>
      <c r="B25" s="355"/>
      <c r="C25" s="355"/>
      <c r="D25" s="355" t="s">
        <v>776</v>
      </c>
      <c r="E25" s="356" t="s">
        <v>777</v>
      </c>
      <c r="F25" s="356" t="s">
        <v>778</v>
      </c>
      <c r="G25" s="356" t="s">
        <v>1027</v>
      </c>
      <c r="H25" s="357"/>
      <c r="I25" s="357"/>
      <c r="J25" s="358"/>
      <c r="K25" s="357"/>
      <c r="L25" s="357" t="s">
        <v>879</v>
      </c>
      <c r="M25" s="356">
        <v>2</v>
      </c>
      <c r="N25" s="356">
        <f>3+(7/25)</f>
        <v>3.2800000000000002</v>
      </c>
      <c r="O25" s="380">
        <v>2</v>
      </c>
      <c r="P25" s="355">
        <f t="shared" si="0"/>
        <v>70.56</v>
      </c>
    </row>
    <row r="26" spans="1:20" s="428" customFormat="1" ht="17" x14ac:dyDescent="0.2">
      <c r="A26" s="426" t="s">
        <v>1296</v>
      </c>
      <c r="B26" s="355"/>
      <c r="C26" s="355"/>
      <c r="D26" s="355" t="s">
        <v>776</v>
      </c>
      <c r="E26" s="355" t="s">
        <v>777</v>
      </c>
      <c r="F26" s="355" t="s">
        <v>778</v>
      </c>
      <c r="G26" s="355" t="s">
        <v>862</v>
      </c>
      <c r="H26" s="355" t="s">
        <v>817</v>
      </c>
      <c r="I26" s="355"/>
      <c r="J26" s="355"/>
      <c r="K26" s="355"/>
      <c r="L26" s="427" t="s">
        <v>1297</v>
      </c>
      <c r="M26" s="355">
        <v>3</v>
      </c>
      <c r="N26" s="355">
        <v>9.25</v>
      </c>
      <c r="O26" s="355">
        <v>1</v>
      </c>
      <c r="P26" s="355">
        <f t="shared" si="0"/>
        <v>57.25</v>
      </c>
    </row>
    <row r="27" spans="1:20" s="428" customFormat="1" ht="17" x14ac:dyDescent="0.2">
      <c r="A27" s="426" t="s">
        <v>864</v>
      </c>
      <c r="B27" s="355"/>
      <c r="C27" s="355"/>
      <c r="D27" s="355" t="s">
        <v>776</v>
      </c>
      <c r="E27" s="355" t="s">
        <v>777</v>
      </c>
      <c r="F27" s="355" t="s">
        <v>778</v>
      </c>
      <c r="G27" s="355" t="s">
        <v>862</v>
      </c>
      <c r="H27" s="355" t="s">
        <v>817</v>
      </c>
      <c r="I27" s="355"/>
      <c r="J27" s="355"/>
      <c r="K27" s="355"/>
      <c r="L27" s="427" t="s">
        <v>1298</v>
      </c>
      <c r="M27" s="355">
        <v>1</v>
      </c>
      <c r="N27" s="355">
        <f>3+(3/8)</f>
        <v>3.375</v>
      </c>
      <c r="O27" s="355">
        <v>1</v>
      </c>
      <c r="P27" s="355">
        <f t="shared" si="0"/>
        <v>19.375</v>
      </c>
    </row>
    <row r="28" spans="1:20" s="428" customFormat="1" ht="17" x14ac:dyDescent="0.2">
      <c r="A28" s="426" t="s">
        <v>620</v>
      </c>
      <c r="B28" s="355"/>
      <c r="C28" s="355"/>
      <c r="D28" s="355" t="s">
        <v>776</v>
      </c>
      <c r="E28" s="355" t="s">
        <v>777</v>
      </c>
      <c r="F28" s="355" t="s">
        <v>870</v>
      </c>
      <c r="G28" s="355" t="s">
        <v>867</v>
      </c>
      <c r="H28" s="355"/>
      <c r="I28" s="355"/>
      <c r="J28" s="355"/>
      <c r="K28" s="355"/>
      <c r="L28" s="427" t="s">
        <v>620</v>
      </c>
      <c r="M28" s="355">
        <v>0</v>
      </c>
      <c r="N28" s="355">
        <f>1/8</f>
        <v>0.125</v>
      </c>
      <c r="O28" s="355">
        <v>1</v>
      </c>
      <c r="P28" s="355">
        <f t="shared" si="0"/>
        <v>0.125</v>
      </c>
    </row>
    <row r="29" spans="1:20" s="428" customFormat="1" ht="17" x14ac:dyDescent="0.2">
      <c r="A29" s="359" t="s">
        <v>1268</v>
      </c>
      <c r="B29" s="360"/>
      <c r="C29" s="360"/>
      <c r="D29" s="360" t="s">
        <v>776</v>
      </c>
      <c r="E29" s="361" t="s">
        <v>777</v>
      </c>
      <c r="F29" s="361" t="s">
        <v>870</v>
      </c>
      <c r="G29" s="361" t="s">
        <v>867</v>
      </c>
      <c r="H29" s="361"/>
      <c r="I29" s="361"/>
      <c r="J29" s="356"/>
      <c r="K29" s="361"/>
      <c r="L29" s="432" t="s">
        <v>1268</v>
      </c>
      <c r="M29" s="361">
        <v>0</v>
      </c>
      <c r="N29" s="361">
        <f>3+(7/8)</f>
        <v>3.875</v>
      </c>
      <c r="O29" s="361">
        <v>1</v>
      </c>
      <c r="P29" s="355">
        <f t="shared" si="0"/>
        <v>3.875</v>
      </c>
    </row>
    <row r="30" spans="1:20" s="362" customFormat="1" ht="17" x14ac:dyDescent="0.2">
      <c r="A30" s="426" t="s">
        <v>1269</v>
      </c>
      <c r="B30" s="355"/>
      <c r="C30" s="355"/>
      <c r="D30" s="355" t="s">
        <v>776</v>
      </c>
      <c r="E30" s="355" t="s">
        <v>777</v>
      </c>
      <c r="F30" s="355" t="s">
        <v>870</v>
      </c>
      <c r="G30" s="355" t="s">
        <v>867</v>
      </c>
      <c r="H30" s="355"/>
      <c r="I30" s="355"/>
      <c r="J30" s="355"/>
      <c r="K30" s="355"/>
      <c r="L30" s="427" t="s">
        <v>874</v>
      </c>
      <c r="M30" s="355">
        <v>0</v>
      </c>
      <c r="N30" s="355">
        <f>5/8</f>
        <v>0.625</v>
      </c>
      <c r="O30" s="355">
        <v>1</v>
      </c>
      <c r="P30" s="355">
        <f t="shared" si="0"/>
        <v>0.625</v>
      </c>
    </row>
    <row r="31" spans="1:20" s="428" customFormat="1" ht="204" x14ac:dyDescent="0.2">
      <c r="A31" s="426" t="s">
        <v>1037</v>
      </c>
      <c r="B31" s="355"/>
      <c r="C31" s="355"/>
      <c r="D31" s="355" t="s">
        <v>776</v>
      </c>
      <c r="E31" s="355" t="s">
        <v>777</v>
      </c>
      <c r="F31" s="355" t="s">
        <v>778</v>
      </c>
      <c r="G31" s="355" t="s">
        <v>867</v>
      </c>
      <c r="H31" s="355"/>
      <c r="I31" s="355"/>
      <c r="J31" s="355"/>
      <c r="K31" s="355"/>
      <c r="L31" s="378" t="s">
        <v>1039</v>
      </c>
      <c r="M31" s="355">
        <v>0</v>
      </c>
      <c r="N31" s="355">
        <f>8+(1/8)</f>
        <v>8.125</v>
      </c>
      <c r="O31" s="355">
        <v>1</v>
      </c>
      <c r="P31" s="355">
        <f t="shared" si="0"/>
        <v>8.125</v>
      </c>
    </row>
    <row r="32" spans="1:20" s="428" customFormat="1" ht="17" x14ac:dyDescent="0.2">
      <c r="A32" s="426" t="s">
        <v>883</v>
      </c>
      <c r="B32" s="355"/>
      <c r="C32" s="355"/>
      <c r="D32" s="355" t="s">
        <v>776</v>
      </c>
      <c r="E32" s="355" t="s">
        <v>777</v>
      </c>
      <c r="F32" s="355" t="s">
        <v>778</v>
      </c>
      <c r="G32" s="355" t="s">
        <v>562</v>
      </c>
      <c r="H32" s="355" t="s">
        <v>817</v>
      </c>
      <c r="I32" s="355" t="s">
        <v>794</v>
      </c>
      <c r="J32" s="355"/>
      <c r="K32" s="355"/>
      <c r="L32" s="427" t="s">
        <v>884</v>
      </c>
      <c r="M32" s="355">
        <v>0</v>
      </c>
      <c r="N32" s="355">
        <f>7/8</f>
        <v>0.875</v>
      </c>
      <c r="O32" s="355">
        <v>1</v>
      </c>
      <c r="P32" s="355">
        <f t="shared" si="0"/>
        <v>0.875</v>
      </c>
    </row>
    <row r="33" spans="1:18" ht="17" x14ac:dyDescent="0.2">
      <c r="A33" s="359" t="s">
        <v>885</v>
      </c>
      <c r="B33" s="360"/>
      <c r="C33" s="360"/>
      <c r="D33" s="360" t="s">
        <v>776</v>
      </c>
      <c r="E33" s="361" t="s">
        <v>777</v>
      </c>
      <c r="F33" s="361" t="s">
        <v>778</v>
      </c>
      <c r="G33" s="361" t="s">
        <v>562</v>
      </c>
      <c r="H33" s="362"/>
      <c r="I33" s="362"/>
      <c r="J33" s="363"/>
      <c r="K33" s="362"/>
      <c r="L33" s="364" t="s">
        <v>886</v>
      </c>
      <c r="M33" s="361">
        <v>0</v>
      </c>
      <c r="N33" s="361">
        <f>3+(5/8)</f>
        <v>3.625</v>
      </c>
      <c r="O33" s="361">
        <v>1</v>
      </c>
      <c r="P33" s="355">
        <f t="shared" si="0"/>
        <v>3.625</v>
      </c>
    </row>
    <row r="34" spans="1:18" s="428" customFormat="1" ht="17" x14ac:dyDescent="0.2">
      <c r="A34" s="426" t="s">
        <v>887</v>
      </c>
      <c r="B34" s="355"/>
      <c r="C34" s="355"/>
      <c r="D34" s="355" t="s">
        <v>776</v>
      </c>
      <c r="E34" s="355" t="s">
        <v>777</v>
      </c>
      <c r="F34" s="355" t="s">
        <v>778</v>
      </c>
      <c r="G34" s="355" t="s">
        <v>562</v>
      </c>
      <c r="H34" s="355"/>
      <c r="I34" s="355"/>
      <c r="J34" s="355"/>
      <c r="K34" s="355" t="s">
        <v>784</v>
      </c>
      <c r="L34" s="427" t="s">
        <v>888</v>
      </c>
      <c r="M34" s="355">
        <v>0</v>
      </c>
      <c r="N34" s="355">
        <f>1+(1/8)</f>
        <v>1.125</v>
      </c>
      <c r="O34" s="355">
        <v>1</v>
      </c>
      <c r="P34" s="355">
        <f t="shared" si="0"/>
        <v>1.125</v>
      </c>
    </row>
    <row r="35" spans="1:18" s="428" customFormat="1" ht="17" x14ac:dyDescent="0.2">
      <c r="A35" s="426" t="s">
        <v>889</v>
      </c>
      <c r="B35" s="355"/>
      <c r="C35" s="355"/>
      <c r="D35" s="355" t="s">
        <v>776</v>
      </c>
      <c r="E35" s="355" t="s">
        <v>777</v>
      </c>
      <c r="F35" s="355" t="s">
        <v>778</v>
      </c>
      <c r="G35" s="355" t="s">
        <v>562</v>
      </c>
      <c r="H35" s="355"/>
      <c r="I35" s="355"/>
      <c r="J35" s="355"/>
      <c r="K35" s="355" t="s">
        <v>784</v>
      </c>
      <c r="L35" s="427" t="s">
        <v>888</v>
      </c>
      <c r="M35" s="355">
        <v>0</v>
      </c>
      <c r="N35" s="355">
        <f>1+(1/8)</f>
        <v>1.125</v>
      </c>
      <c r="O35" s="355">
        <v>1</v>
      </c>
      <c r="P35" s="355">
        <f t="shared" si="0"/>
        <v>1.125</v>
      </c>
    </row>
    <row r="36" spans="1:18" s="375" customFormat="1" ht="17" x14ac:dyDescent="0.2">
      <c r="A36" s="426" t="s">
        <v>896</v>
      </c>
      <c r="B36" s="355"/>
      <c r="C36" s="355"/>
      <c r="D36" s="355" t="s">
        <v>776</v>
      </c>
      <c r="E36" s="355" t="s">
        <v>777</v>
      </c>
      <c r="F36" s="355" t="s">
        <v>870</v>
      </c>
      <c r="G36" s="355" t="s">
        <v>562</v>
      </c>
      <c r="H36" s="355"/>
      <c r="I36" s="355"/>
      <c r="J36" s="355"/>
      <c r="K36" s="355"/>
      <c r="L36" s="427" t="s">
        <v>1299</v>
      </c>
      <c r="M36" s="355">
        <v>2</v>
      </c>
      <c r="N36" s="355">
        <f>5+(3/8)</f>
        <v>5.375</v>
      </c>
      <c r="O36" s="355">
        <v>1</v>
      </c>
      <c r="P36" s="355">
        <f t="shared" si="0"/>
        <v>37.375</v>
      </c>
    </row>
    <row r="37" spans="1:18" s="428" customFormat="1" ht="17" x14ac:dyDescent="0.2">
      <c r="A37" s="359" t="s">
        <v>892</v>
      </c>
      <c r="B37" s="360"/>
      <c r="C37" s="360"/>
      <c r="D37" s="360" t="s">
        <v>776</v>
      </c>
      <c r="E37" s="361" t="s">
        <v>777</v>
      </c>
      <c r="F37" s="361" t="s">
        <v>778</v>
      </c>
      <c r="G37" s="361" t="s">
        <v>562</v>
      </c>
      <c r="H37" s="362"/>
      <c r="I37" s="362"/>
      <c r="J37" s="363"/>
      <c r="K37" s="362" t="s">
        <v>784</v>
      </c>
      <c r="L37" s="364" t="s">
        <v>893</v>
      </c>
      <c r="M37" s="361">
        <v>0</v>
      </c>
      <c r="N37" s="361">
        <v>0.5</v>
      </c>
      <c r="O37" s="361">
        <v>1</v>
      </c>
      <c r="P37" s="355">
        <f t="shared" si="0"/>
        <v>0.5</v>
      </c>
    </row>
    <row r="38" spans="1:18" s="428" customFormat="1" ht="34" x14ac:dyDescent="0.2">
      <c r="A38" s="426" t="s">
        <v>1270</v>
      </c>
      <c r="B38" s="355"/>
      <c r="C38" s="355"/>
      <c r="D38" s="355" t="s">
        <v>776</v>
      </c>
      <c r="E38" s="355" t="s">
        <v>777</v>
      </c>
      <c r="F38" s="355" t="s">
        <v>778</v>
      </c>
      <c r="G38" s="355" t="s">
        <v>562</v>
      </c>
      <c r="H38" s="355"/>
      <c r="I38" s="355"/>
      <c r="J38" s="355"/>
      <c r="K38" s="355"/>
      <c r="L38" s="427" t="s">
        <v>1300</v>
      </c>
      <c r="M38" s="355">
        <v>0</v>
      </c>
      <c r="N38" s="355">
        <f>2+(1/4)</f>
        <v>2.25</v>
      </c>
      <c r="O38" s="355">
        <v>1</v>
      </c>
      <c r="P38" s="355">
        <f t="shared" si="0"/>
        <v>2.25</v>
      </c>
    </row>
    <row r="39" spans="1:18" s="428" customFormat="1" ht="34" x14ac:dyDescent="0.2">
      <c r="A39" s="426" t="s">
        <v>1270</v>
      </c>
      <c r="B39" s="355"/>
      <c r="C39" s="355"/>
      <c r="D39" s="355" t="s">
        <v>776</v>
      </c>
      <c r="E39" s="355" t="s">
        <v>777</v>
      </c>
      <c r="F39" s="355" t="s">
        <v>778</v>
      </c>
      <c r="G39" s="355" t="s">
        <v>562</v>
      </c>
      <c r="H39" s="355"/>
      <c r="I39" s="355"/>
      <c r="J39" s="355"/>
      <c r="K39" s="355"/>
      <c r="L39" s="427" t="s">
        <v>1301</v>
      </c>
      <c r="M39" s="355">
        <v>0</v>
      </c>
      <c r="N39" s="355">
        <f>2+3/8</f>
        <v>2.375</v>
      </c>
      <c r="O39" s="355">
        <v>1</v>
      </c>
      <c r="P39" s="355">
        <f t="shared" si="0"/>
        <v>2.375</v>
      </c>
    </row>
    <row r="40" spans="1:18" s="428" customFormat="1" ht="17" x14ac:dyDescent="0.2">
      <c r="A40" s="426" t="s">
        <v>894</v>
      </c>
      <c r="B40" s="355"/>
      <c r="C40" s="355"/>
      <c r="D40" s="355" t="s">
        <v>776</v>
      </c>
      <c r="E40" s="355" t="s">
        <v>777</v>
      </c>
      <c r="F40" s="355" t="s">
        <v>778</v>
      </c>
      <c r="G40" s="355" t="s">
        <v>562</v>
      </c>
      <c r="H40" s="355"/>
      <c r="I40" s="355"/>
      <c r="J40" s="355"/>
      <c r="K40" s="355"/>
      <c r="L40" s="427" t="s">
        <v>895</v>
      </c>
      <c r="M40" s="355">
        <v>0</v>
      </c>
      <c r="N40" s="355">
        <f>2+(1/8)</f>
        <v>2.125</v>
      </c>
      <c r="O40" s="355">
        <v>1</v>
      </c>
      <c r="P40" s="355">
        <f t="shared" si="0"/>
        <v>2.125</v>
      </c>
    </row>
    <row r="41" spans="1:18" s="428" customFormat="1" ht="34" x14ac:dyDescent="0.2">
      <c r="A41" s="426" t="s">
        <v>910</v>
      </c>
      <c r="B41" s="355"/>
      <c r="C41" s="355"/>
      <c r="D41" s="355" t="s">
        <v>776</v>
      </c>
      <c r="E41" s="355" t="s">
        <v>777</v>
      </c>
      <c r="F41" s="355" t="s">
        <v>778</v>
      </c>
      <c r="G41" s="355" t="s">
        <v>562</v>
      </c>
      <c r="H41" s="355"/>
      <c r="I41" s="355"/>
      <c r="J41" s="355"/>
      <c r="K41" s="355"/>
      <c r="L41" s="427" t="s">
        <v>1302</v>
      </c>
      <c r="M41" s="355">
        <v>0</v>
      </c>
      <c r="N41" s="355">
        <f>3+(1/2)</f>
        <v>3.5</v>
      </c>
      <c r="O41" s="355">
        <v>1</v>
      </c>
      <c r="P41" s="355">
        <f t="shared" si="0"/>
        <v>3.5</v>
      </c>
    </row>
    <row r="42" spans="1:18" s="428" customFormat="1" ht="17" x14ac:dyDescent="0.2">
      <c r="A42" s="373" t="s">
        <v>844</v>
      </c>
      <c r="B42" s="140"/>
      <c r="C42" s="140"/>
      <c r="D42" s="140" t="s">
        <v>776</v>
      </c>
      <c r="E42" s="374" t="s">
        <v>777</v>
      </c>
      <c r="F42" s="374" t="s">
        <v>778</v>
      </c>
      <c r="G42" s="374" t="s">
        <v>562</v>
      </c>
      <c r="H42" s="375"/>
      <c r="I42" s="375"/>
      <c r="J42" s="376"/>
      <c r="K42" s="375" t="s">
        <v>1002</v>
      </c>
      <c r="L42" s="375" t="s">
        <v>847</v>
      </c>
      <c r="M42" s="374">
        <v>0</v>
      </c>
      <c r="N42" s="374">
        <f>6+(1/8)</f>
        <v>6.125</v>
      </c>
      <c r="O42" s="374">
        <v>1</v>
      </c>
      <c r="P42" s="374">
        <f t="shared" si="0"/>
        <v>6.125</v>
      </c>
    </row>
    <row r="43" spans="1:18" s="375" customFormat="1" ht="17" x14ac:dyDescent="0.2">
      <c r="A43" s="426" t="s">
        <v>906</v>
      </c>
      <c r="B43" s="355"/>
      <c r="C43" s="355"/>
      <c r="D43" s="355" t="s">
        <v>776</v>
      </c>
      <c r="E43" s="355" t="s">
        <v>777</v>
      </c>
      <c r="F43" s="355" t="s">
        <v>778</v>
      </c>
      <c r="G43" s="355" t="s">
        <v>562</v>
      </c>
      <c r="H43" s="355"/>
      <c r="I43" s="355"/>
      <c r="J43" s="355"/>
      <c r="K43" s="355" t="s">
        <v>807</v>
      </c>
      <c r="L43" s="427" t="s">
        <v>1303</v>
      </c>
      <c r="M43" s="355">
        <v>0</v>
      </c>
      <c r="N43" s="355">
        <f>1+(5/8)</f>
        <v>1.625</v>
      </c>
      <c r="O43" s="355">
        <v>1</v>
      </c>
      <c r="P43" s="355">
        <f t="shared" si="0"/>
        <v>1.625</v>
      </c>
      <c r="Q43" s="374"/>
      <c r="R43" s="374"/>
    </row>
    <row r="44" spans="1:18" s="428" customFormat="1" ht="17" x14ac:dyDescent="0.2">
      <c r="A44" s="426" t="s">
        <v>908</v>
      </c>
      <c r="B44" s="355"/>
      <c r="C44" s="355"/>
      <c r="D44" s="355" t="s">
        <v>776</v>
      </c>
      <c r="E44" s="355" t="s">
        <v>777</v>
      </c>
      <c r="F44" s="355" t="s">
        <v>778</v>
      </c>
      <c r="G44" s="355" t="s">
        <v>562</v>
      </c>
      <c r="H44" s="355"/>
      <c r="I44" s="355"/>
      <c r="J44" s="355"/>
      <c r="K44" s="355" t="s">
        <v>807</v>
      </c>
      <c r="L44" s="433" t="s">
        <v>909</v>
      </c>
      <c r="M44" s="355">
        <v>0</v>
      </c>
      <c r="N44" s="355">
        <f>1+(1/2)</f>
        <v>1.5</v>
      </c>
      <c r="O44" s="355">
        <v>1</v>
      </c>
      <c r="P44" s="355">
        <f t="shared" si="0"/>
        <v>1.5</v>
      </c>
    </row>
    <row r="45" spans="1:18" s="428" customFormat="1" ht="17" x14ac:dyDescent="0.2">
      <c r="A45" s="426" t="s">
        <v>917</v>
      </c>
      <c r="B45" s="355"/>
      <c r="C45" s="355"/>
      <c r="D45" s="355" t="s">
        <v>776</v>
      </c>
      <c r="E45" s="355" t="s">
        <v>777</v>
      </c>
      <c r="F45" s="355" t="s">
        <v>778</v>
      </c>
      <c r="G45" s="355" t="s">
        <v>915</v>
      </c>
      <c r="H45" s="355"/>
      <c r="I45" s="355"/>
      <c r="J45" s="355"/>
      <c r="K45" s="355"/>
      <c r="L45" s="427" t="s">
        <v>917</v>
      </c>
      <c r="M45" s="355">
        <v>0</v>
      </c>
      <c r="N45" s="355">
        <v>0.5</v>
      </c>
      <c r="O45" s="355">
        <v>1</v>
      </c>
      <c r="P45" s="355">
        <f t="shared" si="0"/>
        <v>0.5</v>
      </c>
    </row>
    <row r="46" spans="1:18" s="428" customFormat="1" ht="17" x14ac:dyDescent="0.2">
      <c r="A46" s="426" t="s">
        <v>929</v>
      </c>
      <c r="B46" s="355"/>
      <c r="C46" s="355"/>
      <c r="D46" s="355" t="s">
        <v>776</v>
      </c>
      <c r="E46" s="355" t="s">
        <v>777</v>
      </c>
      <c r="F46" s="355" t="s">
        <v>778</v>
      </c>
      <c r="G46" s="355" t="s">
        <v>915</v>
      </c>
      <c r="H46" s="355"/>
      <c r="I46" s="355"/>
      <c r="J46" s="355"/>
      <c r="K46" s="355"/>
      <c r="L46" s="427" t="s">
        <v>929</v>
      </c>
      <c r="M46" s="355">
        <v>0</v>
      </c>
      <c r="N46" s="355">
        <v>0.5</v>
      </c>
      <c r="O46" s="355">
        <v>1</v>
      </c>
      <c r="P46" s="355">
        <f t="shared" si="0"/>
        <v>0.5</v>
      </c>
    </row>
    <row r="47" spans="1:18" s="428" customFormat="1" ht="17" x14ac:dyDescent="0.2">
      <c r="A47" s="426" t="s">
        <v>949</v>
      </c>
      <c r="B47" s="355"/>
      <c r="C47" s="355"/>
      <c r="D47" s="355" t="s">
        <v>776</v>
      </c>
      <c r="E47" s="355" t="s">
        <v>777</v>
      </c>
      <c r="F47" s="355" t="s">
        <v>778</v>
      </c>
      <c r="G47" s="355" t="s">
        <v>915</v>
      </c>
      <c r="H47" s="355"/>
      <c r="I47" s="355"/>
      <c r="J47" s="355"/>
      <c r="K47" s="355"/>
      <c r="L47" s="427" t="s">
        <v>949</v>
      </c>
      <c r="M47" s="355">
        <v>0</v>
      </c>
      <c r="N47" s="355">
        <f>2+(1/4)</f>
        <v>2.25</v>
      </c>
      <c r="O47" s="355">
        <v>1</v>
      </c>
      <c r="P47" s="355">
        <f t="shared" si="0"/>
        <v>2.25</v>
      </c>
    </row>
    <row r="48" spans="1:18" s="428" customFormat="1" ht="17" x14ac:dyDescent="0.2">
      <c r="A48" s="359" t="s">
        <v>950</v>
      </c>
      <c r="B48" s="140"/>
      <c r="C48" s="140"/>
      <c r="D48" s="360" t="s">
        <v>776</v>
      </c>
      <c r="E48" s="361" t="s">
        <v>777</v>
      </c>
      <c r="F48" s="362" t="s">
        <v>778</v>
      </c>
      <c r="G48" s="361" t="s">
        <v>915</v>
      </c>
      <c r="H48" s="362"/>
      <c r="I48" s="362"/>
      <c r="J48" s="363"/>
      <c r="K48" s="362"/>
      <c r="L48" s="359" t="s">
        <v>951</v>
      </c>
      <c r="M48" s="361">
        <v>0</v>
      </c>
      <c r="N48" s="361">
        <f>2+5/8</f>
        <v>2.625</v>
      </c>
      <c r="O48" s="361">
        <v>1</v>
      </c>
      <c r="P48" s="355">
        <f t="shared" si="0"/>
        <v>2.625</v>
      </c>
    </row>
    <row r="49" spans="1:16" s="428" customFormat="1" ht="34" x14ac:dyDescent="0.2">
      <c r="A49" s="359" t="s">
        <v>921</v>
      </c>
      <c r="B49" s="360"/>
      <c r="C49" s="360"/>
      <c r="D49" s="360" t="s">
        <v>776</v>
      </c>
      <c r="E49" s="361" t="s">
        <v>777</v>
      </c>
      <c r="F49" s="361" t="s">
        <v>870</v>
      </c>
      <c r="G49" s="361" t="s">
        <v>915</v>
      </c>
      <c r="H49" s="361"/>
      <c r="I49" s="361"/>
      <c r="J49" s="361"/>
      <c r="K49" s="361" t="s">
        <v>846</v>
      </c>
      <c r="L49" s="432" t="s">
        <v>922</v>
      </c>
      <c r="M49" s="361">
        <v>0</v>
      </c>
      <c r="N49" s="361">
        <f>1/4</f>
        <v>0.25</v>
      </c>
      <c r="O49" s="361">
        <v>1</v>
      </c>
      <c r="P49" s="355">
        <f t="shared" si="0"/>
        <v>0.25</v>
      </c>
    </row>
    <row r="50" spans="1:16" s="428" customFormat="1" ht="17" x14ac:dyDescent="0.2">
      <c r="A50" s="354" t="s">
        <v>938</v>
      </c>
      <c r="B50" s="355"/>
      <c r="C50" s="355"/>
      <c r="D50" s="355" t="s">
        <v>776</v>
      </c>
      <c r="E50" s="356" t="s">
        <v>777</v>
      </c>
      <c r="F50" s="356" t="s">
        <v>778</v>
      </c>
      <c r="G50" s="356" t="s">
        <v>915</v>
      </c>
      <c r="H50" s="356"/>
      <c r="I50" s="356"/>
      <c r="J50" s="356"/>
      <c r="K50" s="356"/>
      <c r="L50" s="434" t="s">
        <v>940</v>
      </c>
      <c r="M50" s="356">
        <v>0</v>
      </c>
      <c r="N50" s="356">
        <f>9+(3/8)</f>
        <v>9.375</v>
      </c>
      <c r="O50" s="356">
        <v>1</v>
      </c>
      <c r="P50" s="355">
        <f t="shared" si="0"/>
        <v>9.375</v>
      </c>
    </row>
    <row r="51" spans="1:16" s="428" customFormat="1" ht="17" x14ac:dyDescent="0.2">
      <c r="A51" s="426" t="s">
        <v>933</v>
      </c>
      <c r="B51" s="355"/>
      <c r="C51" s="355"/>
      <c r="D51" s="355" t="s">
        <v>776</v>
      </c>
      <c r="E51" s="355" t="s">
        <v>777</v>
      </c>
      <c r="F51" s="355" t="s">
        <v>778</v>
      </c>
      <c r="G51" s="355" t="s">
        <v>915</v>
      </c>
      <c r="H51" s="355"/>
      <c r="I51" s="355"/>
      <c r="J51" s="355"/>
      <c r="K51" s="355"/>
      <c r="L51" s="427" t="s">
        <v>933</v>
      </c>
      <c r="M51" s="355">
        <v>0</v>
      </c>
      <c r="N51" s="355">
        <f>5/8</f>
        <v>0.625</v>
      </c>
      <c r="O51" s="355">
        <v>1</v>
      </c>
      <c r="P51" s="355">
        <f t="shared" si="0"/>
        <v>0.625</v>
      </c>
    </row>
    <row r="52" spans="1:16" s="428" customFormat="1" ht="17" x14ac:dyDescent="0.2">
      <c r="A52" s="426" t="s">
        <v>934</v>
      </c>
      <c r="B52" s="355"/>
      <c r="C52" s="355"/>
      <c r="D52" s="355" t="s">
        <v>776</v>
      </c>
      <c r="E52" s="355" t="s">
        <v>777</v>
      </c>
      <c r="F52" s="355" t="s">
        <v>778</v>
      </c>
      <c r="G52" s="355" t="s">
        <v>915</v>
      </c>
      <c r="H52" s="355"/>
      <c r="I52" s="355"/>
      <c r="J52" s="355"/>
      <c r="K52" s="355"/>
      <c r="L52" s="427" t="s">
        <v>934</v>
      </c>
      <c r="M52" s="355">
        <v>0</v>
      </c>
      <c r="N52" s="355">
        <f>1+(1/8)</f>
        <v>1.125</v>
      </c>
      <c r="O52" s="355">
        <v>1</v>
      </c>
      <c r="P52" s="355">
        <f t="shared" si="0"/>
        <v>1.125</v>
      </c>
    </row>
    <row r="53" spans="1:16" s="428" customFormat="1" ht="17" x14ac:dyDescent="0.2">
      <c r="A53" s="426" t="s">
        <v>1177</v>
      </c>
      <c r="B53" s="355"/>
      <c r="C53" s="355"/>
      <c r="D53" s="355" t="s">
        <v>776</v>
      </c>
      <c r="E53" s="355" t="s">
        <v>777</v>
      </c>
      <c r="F53" s="355" t="s">
        <v>778</v>
      </c>
      <c r="G53" s="355" t="s">
        <v>915</v>
      </c>
      <c r="H53" s="355"/>
      <c r="I53" s="355"/>
      <c r="J53" s="355"/>
      <c r="K53" s="355"/>
      <c r="L53" s="435" t="s">
        <v>1187</v>
      </c>
      <c r="M53" s="355">
        <v>0</v>
      </c>
      <c r="N53" s="355">
        <v>0.5</v>
      </c>
      <c r="O53" s="355">
        <v>1</v>
      </c>
      <c r="P53" s="355">
        <f t="shared" si="0"/>
        <v>0.5</v>
      </c>
    </row>
    <row r="54" spans="1:16" s="428" customFormat="1" ht="17" x14ac:dyDescent="0.2">
      <c r="A54" s="354" t="s">
        <v>941</v>
      </c>
      <c r="B54" s="355"/>
      <c r="C54" s="355"/>
      <c r="D54" s="355" t="s">
        <v>776</v>
      </c>
      <c r="E54" s="356" t="s">
        <v>777</v>
      </c>
      <c r="F54" s="356" t="s">
        <v>778</v>
      </c>
      <c r="G54" s="356" t="s">
        <v>915</v>
      </c>
      <c r="H54" s="356"/>
      <c r="I54" s="356"/>
      <c r="J54" s="356"/>
      <c r="K54" s="356"/>
      <c r="L54" s="436" t="s">
        <v>1304</v>
      </c>
      <c r="M54" s="356">
        <v>0</v>
      </c>
      <c r="N54" s="356">
        <f>5+(5/8)</f>
        <v>5.625</v>
      </c>
      <c r="O54" s="356">
        <v>1</v>
      </c>
      <c r="P54" s="355">
        <f t="shared" si="0"/>
        <v>5.625</v>
      </c>
    </row>
    <row r="55" spans="1:16" ht="17" x14ac:dyDescent="0.2">
      <c r="A55" s="426" t="s">
        <v>1191</v>
      </c>
      <c r="B55" s="355"/>
      <c r="C55" s="355"/>
      <c r="D55" s="355" t="s">
        <v>776</v>
      </c>
      <c r="E55" s="355" t="s">
        <v>777</v>
      </c>
      <c r="F55" s="355" t="s">
        <v>778</v>
      </c>
      <c r="G55" s="355" t="s">
        <v>607</v>
      </c>
      <c r="H55" s="355"/>
      <c r="I55" s="355" t="s">
        <v>794</v>
      </c>
      <c r="J55" s="355"/>
      <c r="K55" s="355"/>
      <c r="L55" s="427" t="s">
        <v>1305</v>
      </c>
      <c r="M55" s="355">
        <v>0</v>
      </c>
      <c r="N55" s="355">
        <f>4+(7/8)</f>
        <v>4.875</v>
      </c>
      <c r="O55" s="355">
        <v>1</v>
      </c>
      <c r="P55" s="355">
        <f t="shared" si="0"/>
        <v>4.875</v>
      </c>
    </row>
    <row r="56" spans="1:16" s="428" customFormat="1" ht="17" x14ac:dyDescent="0.2">
      <c r="A56" s="426" t="s">
        <v>952</v>
      </c>
      <c r="B56" s="355"/>
      <c r="C56" s="355"/>
      <c r="D56" s="355" t="s">
        <v>776</v>
      </c>
      <c r="E56" s="355" t="s">
        <v>777</v>
      </c>
      <c r="F56" s="355" t="s">
        <v>778</v>
      </c>
      <c r="G56" s="355" t="s">
        <v>607</v>
      </c>
      <c r="H56" s="355"/>
      <c r="I56" s="355"/>
      <c r="J56" s="355"/>
      <c r="K56" s="355"/>
      <c r="L56" s="427" t="s">
        <v>1306</v>
      </c>
      <c r="M56" s="355">
        <v>0</v>
      </c>
      <c r="N56" s="355">
        <v>0.5</v>
      </c>
      <c r="O56" s="355">
        <v>1</v>
      </c>
      <c r="P56" s="355">
        <f t="shared" si="0"/>
        <v>0.5</v>
      </c>
    </row>
    <row r="57" spans="1:16" s="431" customFormat="1" ht="34" x14ac:dyDescent="0.2">
      <c r="A57" s="429" t="s">
        <v>1271</v>
      </c>
      <c r="B57" s="140"/>
      <c r="C57" s="140"/>
      <c r="D57" s="140" t="s">
        <v>776</v>
      </c>
      <c r="E57" s="140" t="s">
        <v>777</v>
      </c>
      <c r="F57" s="140" t="s">
        <v>778</v>
      </c>
      <c r="G57" s="140" t="s">
        <v>607</v>
      </c>
      <c r="H57" s="140"/>
      <c r="I57" s="140"/>
      <c r="J57" s="140"/>
      <c r="K57" s="140"/>
      <c r="L57" s="144" t="s">
        <v>1307</v>
      </c>
      <c r="M57" s="140">
        <v>0</v>
      </c>
      <c r="N57" s="140">
        <f>9+(1/4)</f>
        <v>9.25</v>
      </c>
      <c r="O57" s="140">
        <v>0</v>
      </c>
      <c r="P57" s="140">
        <f t="shared" si="0"/>
        <v>0</v>
      </c>
    </row>
    <row r="58" spans="1:16" s="431" customFormat="1" ht="17" x14ac:dyDescent="0.2">
      <c r="A58" s="354" t="s">
        <v>954</v>
      </c>
      <c r="B58" s="355"/>
      <c r="C58" s="355"/>
      <c r="D58" s="355" t="s">
        <v>776</v>
      </c>
      <c r="E58" s="356" t="s">
        <v>777</v>
      </c>
      <c r="F58" s="356" t="s">
        <v>778</v>
      </c>
      <c r="G58" s="356" t="s">
        <v>607</v>
      </c>
      <c r="H58" s="357"/>
      <c r="I58" s="357"/>
      <c r="J58" s="358"/>
      <c r="K58" s="357" t="s">
        <v>784</v>
      </c>
      <c r="L58" s="427" t="s">
        <v>955</v>
      </c>
      <c r="M58" s="356">
        <v>0</v>
      </c>
      <c r="N58" s="356">
        <v>2</v>
      </c>
      <c r="O58" s="356">
        <v>1</v>
      </c>
      <c r="P58" s="355">
        <f t="shared" si="0"/>
        <v>2</v>
      </c>
    </row>
    <row r="59" spans="1:16" s="428" customFormat="1" ht="17" x14ac:dyDescent="0.2">
      <c r="A59" s="426" t="s">
        <v>912</v>
      </c>
      <c r="B59" s="355"/>
      <c r="C59" s="355"/>
      <c r="D59" s="355" t="s">
        <v>776</v>
      </c>
      <c r="E59" s="355" t="s">
        <v>777</v>
      </c>
      <c r="F59" s="355" t="s">
        <v>778</v>
      </c>
      <c r="G59" s="355" t="s">
        <v>607</v>
      </c>
      <c r="H59" s="355"/>
      <c r="I59" s="355"/>
      <c r="J59" s="355"/>
      <c r="K59" s="355"/>
      <c r="L59" s="427" t="s">
        <v>1308</v>
      </c>
      <c r="M59" s="355">
        <v>0</v>
      </c>
      <c r="N59" s="355">
        <v>0.5</v>
      </c>
      <c r="O59" s="355">
        <v>1</v>
      </c>
      <c r="P59" s="355">
        <f t="shared" si="0"/>
        <v>0.5</v>
      </c>
    </row>
    <row r="60" spans="1:16" s="428" customFormat="1" ht="17" x14ac:dyDescent="0.2">
      <c r="A60" s="426" t="s">
        <v>972</v>
      </c>
      <c r="B60" s="355"/>
      <c r="C60" s="355"/>
      <c r="D60" s="355" t="s">
        <v>776</v>
      </c>
      <c r="E60" s="355" t="s">
        <v>777</v>
      </c>
      <c r="F60" s="355" t="s">
        <v>778</v>
      </c>
      <c r="G60" s="355" t="s">
        <v>968</v>
      </c>
      <c r="H60" s="355"/>
      <c r="I60" s="355"/>
      <c r="J60" s="355"/>
      <c r="K60" s="355"/>
      <c r="L60" s="427" t="s">
        <v>1309</v>
      </c>
      <c r="M60" s="355">
        <v>0</v>
      </c>
      <c r="N60" s="355">
        <f>1+(1/8)</f>
        <v>1.125</v>
      </c>
      <c r="O60" s="355">
        <v>1</v>
      </c>
      <c r="P60" s="355">
        <f t="shared" si="0"/>
        <v>1.125</v>
      </c>
    </row>
    <row r="61" spans="1:16" s="428" customFormat="1" ht="17" x14ac:dyDescent="0.2">
      <c r="A61" s="426" t="s">
        <v>967</v>
      </c>
      <c r="B61" s="355"/>
      <c r="C61" s="355"/>
      <c r="D61" s="355" t="s">
        <v>776</v>
      </c>
      <c r="E61" s="355" t="s">
        <v>777</v>
      </c>
      <c r="F61" s="355" t="s">
        <v>778</v>
      </c>
      <c r="G61" s="355" t="s">
        <v>968</v>
      </c>
      <c r="H61" s="355"/>
      <c r="I61" s="355"/>
      <c r="J61" s="355"/>
      <c r="K61" s="355"/>
      <c r="L61" s="427" t="s">
        <v>967</v>
      </c>
      <c r="M61" s="355">
        <v>2</v>
      </c>
      <c r="N61" s="355">
        <f>9+3/8</f>
        <v>9.375</v>
      </c>
      <c r="O61" s="355">
        <v>1</v>
      </c>
      <c r="P61" s="355">
        <f t="shared" si="0"/>
        <v>41.375</v>
      </c>
    </row>
    <row r="62" spans="1:16" s="428" customFormat="1" ht="34" x14ac:dyDescent="0.2">
      <c r="A62" s="426" t="s">
        <v>1059</v>
      </c>
      <c r="B62" s="355"/>
      <c r="C62" s="355"/>
      <c r="D62" s="355" t="s">
        <v>776</v>
      </c>
      <c r="E62" s="355" t="s">
        <v>777</v>
      </c>
      <c r="F62" s="355" t="s">
        <v>778</v>
      </c>
      <c r="G62" s="355" t="s">
        <v>968</v>
      </c>
      <c r="H62" s="355"/>
      <c r="I62" s="355" t="s">
        <v>1030</v>
      </c>
      <c r="J62" s="355"/>
      <c r="K62" s="355"/>
      <c r="L62" s="427" t="s">
        <v>1060</v>
      </c>
      <c r="M62" s="355">
        <v>0</v>
      </c>
      <c r="N62" s="355">
        <f>14+(1/4)</f>
        <v>14.25</v>
      </c>
      <c r="O62" s="355">
        <v>1</v>
      </c>
      <c r="P62" s="355">
        <f t="shared" si="0"/>
        <v>14.25</v>
      </c>
    </row>
    <row r="63" spans="1:16" s="428" customFormat="1" ht="17" x14ac:dyDescent="0.2">
      <c r="A63" s="426" t="s">
        <v>974</v>
      </c>
      <c r="B63" s="355"/>
      <c r="C63" s="355"/>
      <c r="D63" s="355" t="s">
        <v>776</v>
      </c>
      <c r="E63" s="355" t="s">
        <v>777</v>
      </c>
      <c r="F63" s="355" t="s">
        <v>778</v>
      </c>
      <c r="G63" s="355" t="s">
        <v>968</v>
      </c>
      <c r="H63" s="355"/>
      <c r="I63" s="355"/>
      <c r="J63" s="355"/>
      <c r="K63" s="355"/>
      <c r="L63" s="427" t="s">
        <v>1310</v>
      </c>
      <c r="M63" s="355">
        <v>1</v>
      </c>
      <c r="N63" s="355">
        <f>1+(5/8)</f>
        <v>1.625</v>
      </c>
      <c r="O63" s="355">
        <v>1</v>
      </c>
      <c r="P63" s="355">
        <f t="shared" si="0"/>
        <v>17.625</v>
      </c>
    </row>
    <row r="64" spans="1:16" s="428" customFormat="1" ht="34" x14ac:dyDescent="0.2">
      <c r="A64" s="426" t="s">
        <v>1068</v>
      </c>
      <c r="B64" s="355"/>
      <c r="C64" s="355"/>
      <c r="D64" s="355" t="s">
        <v>776</v>
      </c>
      <c r="E64" s="355" t="s">
        <v>777</v>
      </c>
      <c r="F64" s="355" t="s">
        <v>778</v>
      </c>
      <c r="G64" s="355" t="s">
        <v>968</v>
      </c>
      <c r="H64" s="355"/>
      <c r="I64" s="355"/>
      <c r="J64" s="355"/>
      <c r="K64" s="355"/>
      <c r="L64" s="427" t="s">
        <v>1311</v>
      </c>
      <c r="M64" s="355">
        <v>3</v>
      </c>
      <c r="N64" s="355">
        <f>8+(1/4)</f>
        <v>8.25</v>
      </c>
      <c r="O64" s="355">
        <v>1</v>
      </c>
      <c r="P64" s="355">
        <f t="shared" si="0"/>
        <v>56.25</v>
      </c>
    </row>
    <row r="65" spans="1:18" s="428" customFormat="1" ht="17" x14ac:dyDescent="0.2">
      <c r="A65" s="426" t="s">
        <v>1070</v>
      </c>
      <c r="B65" s="355"/>
      <c r="C65" s="355"/>
      <c r="D65" s="355" t="s">
        <v>776</v>
      </c>
      <c r="E65" s="355" t="s">
        <v>777</v>
      </c>
      <c r="F65" s="355" t="s">
        <v>778</v>
      </c>
      <c r="G65" s="355" t="s">
        <v>968</v>
      </c>
      <c r="H65" s="355"/>
      <c r="I65" s="355"/>
      <c r="J65" s="355"/>
      <c r="K65" s="355"/>
      <c r="L65" s="427" t="s">
        <v>1071</v>
      </c>
      <c r="M65" s="355">
        <v>1</v>
      </c>
      <c r="N65" s="355">
        <f>4+(3/8)</f>
        <v>4.375</v>
      </c>
      <c r="O65" s="355">
        <v>1</v>
      </c>
      <c r="P65" s="355">
        <f t="shared" si="0"/>
        <v>20.375</v>
      </c>
    </row>
    <row r="66" spans="1:18" ht="34" x14ac:dyDescent="0.2">
      <c r="A66" s="426" t="s">
        <v>1272</v>
      </c>
      <c r="B66" s="355"/>
      <c r="C66" s="355"/>
      <c r="D66" s="355" t="s">
        <v>776</v>
      </c>
      <c r="E66" s="355" t="s">
        <v>777</v>
      </c>
      <c r="F66" s="355" t="s">
        <v>778</v>
      </c>
      <c r="G66" s="355" t="s">
        <v>602</v>
      </c>
      <c r="H66" s="355"/>
      <c r="I66" s="355"/>
      <c r="J66" s="355"/>
      <c r="K66" s="355"/>
      <c r="L66" s="427" t="s">
        <v>1312</v>
      </c>
      <c r="M66" s="355">
        <v>0</v>
      </c>
      <c r="N66" s="355">
        <f>3+(7/8)</f>
        <v>3.875</v>
      </c>
      <c r="O66" s="355">
        <v>1</v>
      </c>
      <c r="P66" s="355">
        <f t="shared" si="0"/>
        <v>3.875</v>
      </c>
    </row>
    <row r="67" spans="1:18" s="357" customFormat="1" ht="17" x14ac:dyDescent="0.2">
      <c r="A67" s="426" t="s">
        <v>1273</v>
      </c>
      <c r="B67" s="355"/>
      <c r="C67" s="355"/>
      <c r="D67" s="355" t="s">
        <v>776</v>
      </c>
      <c r="E67" s="355" t="s">
        <v>777</v>
      </c>
      <c r="F67" s="355" t="s">
        <v>778</v>
      </c>
      <c r="G67" s="355" t="s">
        <v>602</v>
      </c>
      <c r="H67" s="355"/>
      <c r="I67" s="355"/>
      <c r="J67" s="355"/>
      <c r="K67" s="355"/>
      <c r="L67" s="427" t="s">
        <v>1313</v>
      </c>
      <c r="M67" s="355">
        <v>0</v>
      </c>
      <c r="N67" s="355">
        <v>1</v>
      </c>
      <c r="O67" s="355">
        <v>1</v>
      </c>
      <c r="P67" s="355">
        <f t="shared" si="0"/>
        <v>1</v>
      </c>
    </row>
    <row r="68" spans="1:18" s="357" customFormat="1" ht="34" x14ac:dyDescent="0.2">
      <c r="A68" s="426" t="s">
        <v>995</v>
      </c>
      <c r="B68" s="355"/>
      <c r="C68" s="355"/>
      <c r="D68" s="355" t="s">
        <v>776</v>
      </c>
      <c r="E68" s="355" t="s">
        <v>777</v>
      </c>
      <c r="F68" s="355" t="s">
        <v>778</v>
      </c>
      <c r="G68" s="355" t="s">
        <v>602</v>
      </c>
      <c r="H68" s="355"/>
      <c r="I68" s="355"/>
      <c r="J68" s="355"/>
      <c r="K68" s="355"/>
      <c r="L68" s="427" t="s">
        <v>1314</v>
      </c>
      <c r="M68" s="355">
        <v>0</v>
      </c>
      <c r="N68" s="355">
        <f>3+(7/8)</f>
        <v>3.875</v>
      </c>
      <c r="O68" s="355">
        <v>1</v>
      </c>
      <c r="P68" s="355">
        <f t="shared" si="0"/>
        <v>3.875</v>
      </c>
    </row>
    <row r="69" spans="1:18" s="362" customFormat="1" ht="17" x14ac:dyDescent="0.2">
      <c r="A69" s="429" t="s">
        <v>984</v>
      </c>
      <c r="B69" s="140"/>
      <c r="C69" s="140"/>
      <c r="D69" s="140" t="s">
        <v>776</v>
      </c>
      <c r="E69" s="140" t="s">
        <v>777</v>
      </c>
      <c r="F69" s="140" t="s">
        <v>778</v>
      </c>
      <c r="G69" s="140" t="s">
        <v>602</v>
      </c>
      <c r="H69" s="140"/>
      <c r="I69" s="140"/>
      <c r="J69" s="140"/>
      <c r="K69" s="140"/>
      <c r="L69" s="144" t="s">
        <v>1315</v>
      </c>
      <c r="M69" s="140">
        <v>0</v>
      </c>
      <c r="N69" s="140">
        <v>0</v>
      </c>
      <c r="O69" s="140">
        <v>1</v>
      </c>
      <c r="P69" s="140">
        <f t="shared" ref="P69:P79" si="1">O69*((M69*16)+N69)</f>
        <v>0</v>
      </c>
    </row>
    <row r="70" spans="1:18" s="431" customFormat="1" ht="34" x14ac:dyDescent="0.2">
      <c r="A70" s="426" t="s">
        <v>1072</v>
      </c>
      <c r="B70" s="355"/>
      <c r="C70" s="355"/>
      <c r="D70" s="355" t="s">
        <v>776</v>
      </c>
      <c r="E70" s="355" t="s">
        <v>777</v>
      </c>
      <c r="F70" s="355" t="s">
        <v>778</v>
      </c>
      <c r="G70" s="355" t="s">
        <v>602</v>
      </c>
      <c r="H70" s="355"/>
      <c r="I70" s="355"/>
      <c r="J70" s="355"/>
      <c r="K70" s="355"/>
      <c r="L70" s="427" t="s">
        <v>1316</v>
      </c>
      <c r="M70" s="355">
        <v>0</v>
      </c>
      <c r="N70" s="355">
        <f>1+(3/8)</f>
        <v>1.375</v>
      </c>
      <c r="O70" s="355">
        <v>1</v>
      </c>
      <c r="P70" s="355">
        <f t="shared" si="1"/>
        <v>1.375</v>
      </c>
    </row>
    <row r="71" spans="1:18" s="428" customFormat="1" ht="17" x14ac:dyDescent="0.2">
      <c r="A71" s="429" t="s">
        <v>987</v>
      </c>
      <c r="B71" s="140"/>
      <c r="C71" s="140"/>
      <c r="D71" s="140" t="s">
        <v>776</v>
      </c>
      <c r="E71" s="140" t="s">
        <v>777</v>
      </c>
      <c r="F71" s="140" t="s">
        <v>778</v>
      </c>
      <c r="G71" s="140" t="s">
        <v>602</v>
      </c>
      <c r="H71" s="140"/>
      <c r="I71" s="140"/>
      <c r="J71" s="140"/>
      <c r="K71" s="140"/>
      <c r="L71" s="437" t="s">
        <v>988</v>
      </c>
      <c r="M71" s="140">
        <v>0</v>
      </c>
      <c r="N71" s="140">
        <v>0</v>
      </c>
      <c r="O71" s="140">
        <v>1</v>
      </c>
      <c r="P71" s="355">
        <f t="shared" si="1"/>
        <v>0</v>
      </c>
    </row>
    <row r="72" spans="1:18" s="428" customFormat="1" ht="51" x14ac:dyDescent="0.2">
      <c r="A72" s="426" t="s">
        <v>989</v>
      </c>
      <c r="B72" s="355"/>
      <c r="C72" s="355"/>
      <c r="D72" s="355" t="s">
        <v>776</v>
      </c>
      <c r="E72" s="355" t="s">
        <v>777</v>
      </c>
      <c r="F72" s="355" t="s">
        <v>778</v>
      </c>
      <c r="G72" s="355" t="s">
        <v>602</v>
      </c>
      <c r="H72" s="355"/>
      <c r="I72" s="355"/>
      <c r="J72" s="355"/>
      <c r="K72" s="355"/>
      <c r="L72" s="427" t="s">
        <v>1317</v>
      </c>
      <c r="M72" s="355">
        <v>0</v>
      </c>
      <c r="N72" s="355">
        <f>8+(7/8)</f>
        <v>8.875</v>
      </c>
      <c r="O72" s="355">
        <v>1</v>
      </c>
      <c r="P72" s="355">
        <f t="shared" si="1"/>
        <v>8.875</v>
      </c>
    </row>
    <row r="73" spans="1:18" s="428" customFormat="1" ht="17" x14ac:dyDescent="0.2">
      <c r="A73" s="426" t="s">
        <v>1318</v>
      </c>
      <c r="B73" s="355"/>
      <c r="C73" s="355"/>
      <c r="D73" s="355" t="s">
        <v>776</v>
      </c>
      <c r="E73" s="355" t="s">
        <v>998</v>
      </c>
      <c r="F73" s="355" t="s">
        <v>778</v>
      </c>
      <c r="G73" s="355" t="s">
        <v>862</v>
      </c>
      <c r="H73" s="355"/>
      <c r="I73" s="355"/>
      <c r="J73" s="355"/>
      <c r="K73" s="355"/>
      <c r="L73" s="427" t="s">
        <v>1319</v>
      </c>
      <c r="M73" s="355">
        <v>0</v>
      </c>
      <c r="N73" s="355">
        <f>3/8</f>
        <v>0.375</v>
      </c>
      <c r="O73" s="355">
        <v>1</v>
      </c>
      <c r="P73" s="355">
        <f t="shared" si="1"/>
        <v>0.375</v>
      </c>
      <c r="Q73" s="428">
        <f>SUBTOTAL(9,P5:P73)</f>
        <v>978.56</v>
      </c>
    </row>
    <row r="74" spans="1:18" s="428" customFormat="1" ht="17" x14ac:dyDescent="0.2">
      <c r="A74" s="426" t="s">
        <v>1275</v>
      </c>
      <c r="B74" s="355"/>
      <c r="C74" s="355"/>
      <c r="D74" s="355" t="s">
        <v>776</v>
      </c>
      <c r="E74" s="355" t="s">
        <v>998</v>
      </c>
      <c r="F74" s="355" t="s">
        <v>778</v>
      </c>
      <c r="G74" s="355" t="s">
        <v>562</v>
      </c>
      <c r="H74" s="355"/>
      <c r="I74" s="355"/>
      <c r="J74" s="355"/>
      <c r="K74" s="355"/>
      <c r="L74" s="122" t="s">
        <v>1320</v>
      </c>
      <c r="M74" s="355">
        <v>0</v>
      </c>
      <c r="N74" s="355">
        <f>2+(3/8)</f>
        <v>2.375</v>
      </c>
      <c r="O74" s="355">
        <v>1</v>
      </c>
      <c r="P74" s="355">
        <f t="shared" si="1"/>
        <v>2.375</v>
      </c>
    </row>
    <row r="75" spans="1:18" s="428" customFormat="1" ht="17" x14ac:dyDescent="0.2">
      <c r="A75" s="426" t="s">
        <v>1276</v>
      </c>
      <c r="B75" s="355"/>
      <c r="C75" s="355"/>
      <c r="D75" s="355" t="s">
        <v>776</v>
      </c>
      <c r="E75" s="355" t="s">
        <v>998</v>
      </c>
      <c r="F75" s="355" t="s">
        <v>778</v>
      </c>
      <c r="G75" s="355" t="s">
        <v>1189</v>
      </c>
      <c r="H75" s="355"/>
      <c r="I75" s="355"/>
      <c r="J75" s="355"/>
      <c r="K75" s="355"/>
      <c r="L75" s="427" t="s">
        <v>1321</v>
      </c>
      <c r="M75" s="355">
        <v>0</v>
      </c>
      <c r="N75" s="355">
        <v>4</v>
      </c>
      <c r="O75" s="355">
        <v>1</v>
      </c>
      <c r="P75" s="355">
        <f t="shared" si="1"/>
        <v>4</v>
      </c>
    </row>
    <row r="76" spans="1:18" s="362" customFormat="1" ht="17" hidden="1" x14ac:dyDescent="0.2">
      <c r="A76" s="426" t="s">
        <v>1035</v>
      </c>
      <c r="B76" s="355"/>
      <c r="C76" s="355"/>
      <c r="D76" s="355"/>
      <c r="E76" s="355" t="s">
        <v>777</v>
      </c>
      <c r="F76" s="355" t="s">
        <v>870</v>
      </c>
      <c r="G76" s="355" t="s">
        <v>862</v>
      </c>
      <c r="H76" s="355" t="s">
        <v>817</v>
      </c>
      <c r="I76" s="355" t="s">
        <v>1030</v>
      </c>
      <c r="J76" s="355"/>
      <c r="K76" s="355"/>
      <c r="L76" s="427" t="s">
        <v>1322</v>
      </c>
      <c r="M76" s="355">
        <v>2</v>
      </c>
      <c r="N76" s="355">
        <v>5</v>
      </c>
      <c r="O76" s="355">
        <v>1</v>
      </c>
      <c r="P76" s="355">
        <f t="shared" si="1"/>
        <v>37</v>
      </c>
    </row>
    <row r="77" spans="1:18" s="362" customFormat="1" ht="34" hidden="1" x14ac:dyDescent="0.2">
      <c r="A77" s="426" t="s">
        <v>1323</v>
      </c>
      <c r="B77" s="355"/>
      <c r="C77" s="355" t="s">
        <v>776</v>
      </c>
      <c r="D77" s="355"/>
      <c r="E77" s="355" t="s">
        <v>777</v>
      </c>
      <c r="F77" s="355" t="s">
        <v>870</v>
      </c>
      <c r="G77" s="355" t="s">
        <v>862</v>
      </c>
      <c r="H77" s="355" t="s">
        <v>817</v>
      </c>
      <c r="I77" s="355" t="s">
        <v>1030</v>
      </c>
      <c r="J77" s="355"/>
      <c r="K77" s="355"/>
      <c r="L77" s="427" t="s">
        <v>1031</v>
      </c>
      <c r="M77" s="355">
        <v>0</v>
      </c>
      <c r="N77" s="355">
        <v>14</v>
      </c>
      <c r="O77" s="355">
        <v>1</v>
      </c>
      <c r="P77" s="355">
        <f t="shared" si="1"/>
        <v>14</v>
      </c>
      <c r="Q77" s="361"/>
      <c r="R77" s="361"/>
    </row>
    <row r="78" spans="1:18" s="428" customFormat="1" ht="17" hidden="1" x14ac:dyDescent="0.2">
      <c r="A78" s="426" t="s">
        <v>979</v>
      </c>
      <c r="B78" s="355"/>
      <c r="C78" s="355"/>
      <c r="D78" s="355"/>
      <c r="E78" s="355" t="s">
        <v>777</v>
      </c>
      <c r="F78" s="355" t="s">
        <v>778</v>
      </c>
      <c r="G78" s="355" t="s">
        <v>602</v>
      </c>
      <c r="H78" s="355"/>
      <c r="I78" s="355"/>
      <c r="J78" s="355"/>
      <c r="K78" s="355"/>
      <c r="L78" s="427" t="s">
        <v>1324</v>
      </c>
      <c r="M78" s="355">
        <v>0</v>
      </c>
      <c r="N78" s="355">
        <f>12+(1/8)</f>
        <v>12.125</v>
      </c>
      <c r="O78" s="355">
        <v>1</v>
      </c>
      <c r="P78" s="355">
        <f t="shared" si="1"/>
        <v>12.125</v>
      </c>
    </row>
    <row r="79" spans="1:18" s="357" customFormat="1" ht="17" hidden="1" x14ac:dyDescent="0.2">
      <c r="A79" s="99" t="s">
        <v>1286</v>
      </c>
      <c r="B79" s="131"/>
      <c r="C79" s="131"/>
      <c r="D79" s="131"/>
      <c r="E79" s="131" t="s">
        <v>998</v>
      </c>
      <c r="F79" s="131" t="s">
        <v>778</v>
      </c>
      <c r="G79" s="131" t="s">
        <v>822</v>
      </c>
      <c r="H79" s="131" t="s">
        <v>805</v>
      </c>
      <c r="I79" s="131" t="s">
        <v>779</v>
      </c>
      <c r="J79" s="131"/>
      <c r="K79" s="131"/>
      <c r="L79" s="130" t="s">
        <v>1325</v>
      </c>
      <c r="M79" s="131">
        <v>0</v>
      </c>
      <c r="N79" s="131">
        <f>11+(1/2)</f>
        <v>11.5</v>
      </c>
      <c r="O79" s="131">
        <v>1</v>
      </c>
      <c r="P79" s="131">
        <f t="shared" si="1"/>
        <v>11.5</v>
      </c>
    </row>
    <row r="80" spans="1:18" x14ac:dyDescent="0.2">
      <c r="D80" s="108" t="s">
        <v>776</v>
      </c>
      <c r="M80" s="108">
        <f>SUM(M5:M75)</f>
        <v>44</v>
      </c>
      <c r="N80" s="108">
        <f>SUM(N5:N75)</f>
        <v>254.905</v>
      </c>
      <c r="P80" s="108">
        <f>SUM(P5:P75)</f>
        <v>984.93499999999995</v>
      </c>
    </row>
    <row r="81" spans="4:13" x14ac:dyDescent="0.2">
      <c r="D81" s="108" t="s">
        <v>776</v>
      </c>
      <c r="L81" s="438" t="s">
        <v>1243</v>
      </c>
      <c r="M81" s="439">
        <f>P80/16</f>
        <v>61.558437499999997</v>
      </c>
    </row>
  </sheetData>
  <autoFilter ref="A4:P81" xr:uid="{D936CD33-EE6E-D14A-BA8B-FF7E0F7ED07C}">
    <filterColumn colId="3">
      <customFilters>
        <customFilter operator="notEqual" val=" "/>
      </customFilters>
    </filterColumn>
  </autoFilter>
  <mergeCells count="2">
    <mergeCell ref="M3:N3"/>
    <mergeCell ref="A1:P1"/>
  </mergeCells>
  <hyperlinks>
    <hyperlink ref="L53" r:id="rId1" xr:uid="{2B4B1D27-D765-8A49-82C7-EFE228552615}"/>
    <hyperlink ref="L54" r:id="rId2" display="Wysi Wipe Multi-Purpose Wipes" xr:uid="{DA164B3A-4934-BA48-8167-A5A827F60902}"/>
    <hyperlink ref="L17" r:id="rId3" xr:uid="{A03DB665-35BD-7248-BE7C-DAF053FB1C0F}"/>
    <hyperlink ref="L37" r:id="rId4" xr:uid="{46F498BB-2A93-6749-888A-ABA7AF26BDC9}"/>
    <hyperlink ref="L74" r:id="rId5" xr:uid="{1244C7A3-5712-134F-B8B8-6E4DB0C2DEA4}"/>
    <hyperlink ref="L33" r:id="rId6" display="Jeff’s Gear Hammock/Pack Cover" xr:uid="{73B33E69-CB0E-5A44-8291-5169AB9C0058}"/>
  </hyperlinks>
  <printOptions horizontalCentered="1" gridLines="1"/>
  <pageMargins left="0.5" right="0.25" top="0.75" bottom="0.75" header="0.3" footer="0.3"/>
  <pageSetup scale="52" fitToHeight="2" orientation="landscape" horizontalDpi="0" verticalDpi="0"/>
  <legacy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07565-7B3A-0049-A35C-31D6B279D9CE}">
  <sheetPr>
    <pageSetUpPr fitToPage="1"/>
  </sheetPr>
  <dimension ref="A1:J91"/>
  <sheetViews>
    <sheetView workbookViewId="0">
      <selection activeCell="A2" sqref="A2"/>
    </sheetView>
  </sheetViews>
  <sheetFormatPr baseColWidth="10" defaultRowHeight="16" x14ac:dyDescent="0.2"/>
  <cols>
    <col min="1" max="1" width="20" bestFit="1" customWidth="1"/>
    <col min="2" max="2" width="22.1640625" bestFit="1" customWidth="1"/>
    <col min="3" max="3" width="13.83203125" bestFit="1" customWidth="1"/>
    <col min="4" max="5" width="27" bestFit="1" customWidth="1"/>
    <col min="6" max="7" width="10.83203125" bestFit="1" customWidth="1"/>
    <col min="8" max="8" width="18.1640625" bestFit="1" customWidth="1"/>
  </cols>
  <sheetData>
    <row r="1" spans="1:10" s="410" customFormat="1" ht="71" customHeight="1" x14ac:dyDescent="0.2">
      <c r="A1" s="448" t="s">
        <v>1327</v>
      </c>
      <c r="B1" s="448"/>
      <c r="C1" s="448"/>
      <c r="D1" s="448"/>
      <c r="E1" s="448"/>
      <c r="F1" s="448"/>
      <c r="G1" s="448"/>
      <c r="H1" s="448"/>
      <c r="I1" s="440"/>
      <c r="J1" s="440"/>
    </row>
    <row r="2" spans="1:10" s="442" customFormat="1" x14ac:dyDescent="0.2">
      <c r="A2" s="441"/>
      <c r="B2" s="441"/>
      <c r="C2" s="441"/>
      <c r="D2" s="441"/>
      <c r="E2" s="441"/>
      <c r="F2" s="441"/>
      <c r="G2" s="441"/>
      <c r="H2" s="441"/>
      <c r="I2" s="440"/>
      <c r="J2" s="440"/>
    </row>
    <row r="3" spans="1:10" s="410" customFormat="1" x14ac:dyDescent="0.2">
      <c r="A3" s="243" t="s">
        <v>766</v>
      </c>
      <c r="B3" t="s">
        <v>776</v>
      </c>
      <c r="F3" s="193"/>
      <c r="G3" s="229"/>
      <c r="H3" s="411"/>
      <c r="I3" s="229"/>
      <c r="J3" s="412"/>
    </row>
    <row r="5" spans="1:10" ht="51" x14ac:dyDescent="0.2">
      <c r="A5" s="243" t="s">
        <v>767</v>
      </c>
      <c r="B5" s="243" t="s">
        <v>551</v>
      </c>
      <c r="C5" s="243" t="s">
        <v>769</v>
      </c>
      <c r="D5" s="243" t="s">
        <v>770</v>
      </c>
      <c r="E5" s="243" t="s">
        <v>465</v>
      </c>
      <c r="F5" s="178" t="s">
        <v>1245</v>
      </c>
      <c r="G5" s="178" t="s">
        <v>1246</v>
      </c>
      <c r="H5" t="s">
        <v>1247</v>
      </c>
    </row>
    <row r="6" spans="1:10" x14ac:dyDescent="0.2">
      <c r="A6" t="s">
        <v>777</v>
      </c>
      <c r="B6" t="s">
        <v>775</v>
      </c>
      <c r="C6" t="s">
        <v>516</v>
      </c>
      <c r="D6" t="s">
        <v>516</v>
      </c>
      <c r="E6" t="s">
        <v>775</v>
      </c>
      <c r="F6" s="245">
        <v>80.25</v>
      </c>
      <c r="G6" s="416">
        <v>8.1477457903313427E-2</v>
      </c>
      <c r="H6" s="417">
        <v>5.015625</v>
      </c>
    </row>
    <row r="7" spans="1:10" x14ac:dyDescent="0.2">
      <c r="B7" t="s">
        <v>1248</v>
      </c>
      <c r="F7" s="245">
        <v>80.25</v>
      </c>
      <c r="G7" s="416">
        <v>8.1477457903313427E-2</v>
      </c>
      <c r="H7" s="417">
        <v>5.015625</v>
      </c>
    </row>
    <row r="8" spans="1:10" x14ac:dyDescent="0.2">
      <c r="B8" t="s">
        <v>782</v>
      </c>
      <c r="C8" t="s">
        <v>783</v>
      </c>
      <c r="D8" t="s">
        <v>779</v>
      </c>
      <c r="E8" t="s">
        <v>1263</v>
      </c>
      <c r="F8" s="245">
        <v>11.375</v>
      </c>
      <c r="G8" s="416">
        <v>1.1548985466045983E-2</v>
      </c>
      <c r="H8" s="417">
        <v>0.7109375</v>
      </c>
    </row>
    <row r="9" spans="1:10" x14ac:dyDescent="0.2">
      <c r="D9" t="s">
        <v>516</v>
      </c>
      <c r="E9" t="s">
        <v>1012</v>
      </c>
      <c r="F9" s="245">
        <v>9.5</v>
      </c>
      <c r="G9" s="416">
        <v>9.6453065430713702E-3</v>
      </c>
      <c r="H9" s="417">
        <v>0.59375</v>
      </c>
    </row>
    <row r="10" spans="1:10" x14ac:dyDescent="0.2">
      <c r="E10" t="s">
        <v>1264</v>
      </c>
      <c r="F10" s="245">
        <v>6.375</v>
      </c>
      <c r="G10" s="416">
        <v>6.472508338113683E-3</v>
      </c>
      <c r="H10" s="417">
        <v>0.3984375</v>
      </c>
    </row>
    <row r="11" spans="1:10" x14ac:dyDescent="0.2">
      <c r="E11" t="s">
        <v>1265</v>
      </c>
      <c r="F11" s="245">
        <v>16.875</v>
      </c>
      <c r="G11" s="416">
        <v>1.7133110306771514E-2</v>
      </c>
      <c r="H11" s="417">
        <v>1.0546875</v>
      </c>
    </row>
    <row r="12" spans="1:10" x14ac:dyDescent="0.2">
      <c r="C12" t="s">
        <v>805</v>
      </c>
      <c r="D12" t="s">
        <v>779</v>
      </c>
      <c r="E12" t="s">
        <v>1266</v>
      </c>
      <c r="F12" s="245">
        <v>2.875</v>
      </c>
      <c r="G12" s="416">
        <v>2.9189743485610728E-3</v>
      </c>
      <c r="H12" s="417">
        <v>0.1796875</v>
      </c>
    </row>
    <row r="13" spans="1:10" x14ac:dyDescent="0.2">
      <c r="E13" t="s">
        <v>1123</v>
      </c>
      <c r="F13" s="245">
        <v>3.5</v>
      </c>
      <c r="G13" s="416">
        <v>3.5535339895526102E-3</v>
      </c>
      <c r="H13" s="417">
        <v>0.21875</v>
      </c>
    </row>
    <row r="14" spans="1:10" x14ac:dyDescent="0.2">
      <c r="E14" t="s">
        <v>1267</v>
      </c>
      <c r="F14" s="245">
        <v>5.25</v>
      </c>
      <c r="G14" s="416">
        <v>5.3303009843289157E-3</v>
      </c>
      <c r="H14" s="417">
        <v>0.328125</v>
      </c>
    </row>
    <row r="15" spans="1:10" x14ac:dyDescent="0.2">
      <c r="C15" t="s">
        <v>817</v>
      </c>
      <c r="D15" t="s">
        <v>779</v>
      </c>
      <c r="E15" t="s">
        <v>816</v>
      </c>
      <c r="F15" s="245">
        <v>11.125</v>
      </c>
      <c r="G15" s="416">
        <v>1.1295161609649369E-2</v>
      </c>
      <c r="H15" s="417">
        <v>0.6953125</v>
      </c>
    </row>
    <row r="16" spans="1:10" x14ac:dyDescent="0.2">
      <c r="B16" t="s">
        <v>1249</v>
      </c>
      <c r="F16" s="245">
        <v>66.875</v>
      </c>
      <c r="G16" s="416">
        <v>6.7897881586094513E-2</v>
      </c>
      <c r="H16" s="417">
        <v>4.1796875</v>
      </c>
    </row>
    <row r="17" spans="2:8" x14ac:dyDescent="0.2">
      <c r="B17" t="s">
        <v>822</v>
      </c>
      <c r="C17" t="s">
        <v>805</v>
      </c>
      <c r="D17" t="s">
        <v>779</v>
      </c>
      <c r="E17" t="s">
        <v>1286</v>
      </c>
      <c r="F17" s="245">
        <v>16.125</v>
      </c>
      <c r="G17" s="416">
        <v>1.637163873758167E-2</v>
      </c>
      <c r="H17" s="417">
        <v>1.0078125</v>
      </c>
    </row>
    <row r="18" spans="2:8" x14ac:dyDescent="0.2">
      <c r="E18" t="s">
        <v>1288</v>
      </c>
      <c r="F18" s="245">
        <v>8.5</v>
      </c>
      <c r="G18" s="416">
        <v>8.6300111174849106E-3</v>
      </c>
      <c r="H18" s="417">
        <v>0.53125</v>
      </c>
    </row>
    <row r="19" spans="2:8" x14ac:dyDescent="0.2">
      <c r="E19" t="s">
        <v>1290</v>
      </c>
      <c r="F19" s="245">
        <v>3.5</v>
      </c>
      <c r="G19" s="416">
        <v>3.5535339895526102E-3</v>
      </c>
      <c r="H19" s="417">
        <v>0.21875</v>
      </c>
    </row>
    <row r="20" spans="2:8" x14ac:dyDescent="0.2">
      <c r="E20" t="s">
        <v>1292</v>
      </c>
      <c r="F20" s="245">
        <v>2.375</v>
      </c>
      <c r="G20" s="416">
        <v>2.4113266357678425E-3</v>
      </c>
      <c r="H20" s="417">
        <v>0.1484375</v>
      </c>
    </row>
    <row r="21" spans="2:8" x14ac:dyDescent="0.2">
      <c r="D21" t="s">
        <v>516</v>
      </c>
      <c r="E21" t="s">
        <v>1119</v>
      </c>
      <c r="F21" s="245">
        <v>3.375</v>
      </c>
      <c r="G21" s="416">
        <v>3.4266220613543025E-3</v>
      </c>
      <c r="H21" s="417">
        <v>0.2109375</v>
      </c>
    </row>
    <row r="22" spans="2:8" x14ac:dyDescent="0.2">
      <c r="E22" t="s">
        <v>1284</v>
      </c>
      <c r="F22" s="245">
        <v>3</v>
      </c>
      <c r="G22" s="416">
        <v>3.0458862767593804E-3</v>
      </c>
      <c r="H22" s="417">
        <v>0.1875</v>
      </c>
    </row>
    <row r="23" spans="2:8" x14ac:dyDescent="0.2">
      <c r="E23" t="s">
        <v>821</v>
      </c>
      <c r="F23" s="245">
        <v>2.875</v>
      </c>
      <c r="G23" s="416">
        <v>2.9189743485610728E-3</v>
      </c>
      <c r="H23" s="417">
        <v>0.1796875</v>
      </c>
    </row>
    <row r="24" spans="2:8" x14ac:dyDescent="0.2">
      <c r="C24" t="s">
        <v>817</v>
      </c>
      <c r="D24" t="s">
        <v>794</v>
      </c>
      <c r="E24" t="s">
        <v>1294</v>
      </c>
      <c r="F24" s="245">
        <v>0.625</v>
      </c>
      <c r="G24" s="416">
        <v>6.3455964099153755E-4</v>
      </c>
      <c r="H24" s="417">
        <v>3.90625E-2</v>
      </c>
    </row>
    <row r="25" spans="2:8" x14ac:dyDescent="0.2">
      <c r="B25" t="s">
        <v>1250</v>
      </c>
      <c r="F25" s="245">
        <v>40.375</v>
      </c>
      <c r="G25" s="416">
        <v>4.0992552808053327E-2</v>
      </c>
      <c r="H25" s="417">
        <v>2.5234375</v>
      </c>
    </row>
    <row r="26" spans="2:8" x14ac:dyDescent="0.2">
      <c r="B26" t="s">
        <v>862</v>
      </c>
      <c r="C26" t="s">
        <v>817</v>
      </c>
      <c r="D26" t="s">
        <v>516</v>
      </c>
      <c r="E26" t="s">
        <v>1296</v>
      </c>
      <c r="F26" s="245">
        <v>57.25</v>
      </c>
      <c r="G26" s="416">
        <v>5.8125663114824838E-2</v>
      </c>
      <c r="H26" s="417">
        <v>3.578125</v>
      </c>
    </row>
    <row r="27" spans="2:8" x14ac:dyDescent="0.2">
      <c r="E27" t="s">
        <v>864</v>
      </c>
      <c r="F27" s="245">
        <v>19.375</v>
      </c>
      <c r="G27" s="416">
        <v>1.9671348870737664E-2</v>
      </c>
      <c r="H27" s="417">
        <v>1.2109375</v>
      </c>
    </row>
    <row r="28" spans="2:8" x14ac:dyDescent="0.2">
      <c r="B28" t="s">
        <v>1252</v>
      </c>
      <c r="F28" s="245">
        <v>76.625</v>
      </c>
      <c r="G28" s="416">
        <v>7.7797011985562506E-2</v>
      </c>
      <c r="H28" s="417">
        <v>4.7890625</v>
      </c>
    </row>
    <row r="29" spans="2:8" x14ac:dyDescent="0.2">
      <c r="B29" t="s">
        <v>867</v>
      </c>
      <c r="C29" t="s">
        <v>516</v>
      </c>
      <c r="D29" t="s">
        <v>516</v>
      </c>
      <c r="E29" t="s">
        <v>1037</v>
      </c>
      <c r="F29" s="245">
        <v>8.125</v>
      </c>
      <c r="G29" s="416">
        <v>8.2492753328899885E-3</v>
      </c>
      <c r="H29" s="417">
        <v>0.5078125</v>
      </c>
    </row>
    <row r="30" spans="2:8" x14ac:dyDescent="0.2">
      <c r="E30" t="s">
        <v>620</v>
      </c>
      <c r="F30" s="245">
        <v>0.125</v>
      </c>
      <c r="G30" s="416">
        <v>1.269119281983075E-4</v>
      </c>
      <c r="H30" s="417">
        <v>7.8125E-3</v>
      </c>
    </row>
    <row r="31" spans="2:8" x14ac:dyDescent="0.2">
      <c r="E31" t="s">
        <v>1268</v>
      </c>
      <c r="F31" s="245">
        <v>3.875</v>
      </c>
      <c r="G31" s="416">
        <v>3.9342697741475332E-3</v>
      </c>
      <c r="H31" s="417">
        <v>0.2421875</v>
      </c>
    </row>
    <row r="32" spans="2:8" x14ac:dyDescent="0.2">
      <c r="E32" t="s">
        <v>1269</v>
      </c>
      <c r="F32" s="245">
        <v>0.625</v>
      </c>
      <c r="G32" s="416">
        <v>6.3455964099153755E-4</v>
      </c>
      <c r="H32" s="417">
        <v>3.90625E-2</v>
      </c>
    </row>
    <row r="33" spans="2:8" x14ac:dyDescent="0.2">
      <c r="B33" t="s">
        <v>1253</v>
      </c>
      <c r="F33" s="245">
        <v>12.75</v>
      </c>
      <c r="G33" s="416">
        <v>1.2945016676227366E-2</v>
      </c>
      <c r="H33" s="417">
        <v>0.796875</v>
      </c>
    </row>
    <row r="34" spans="2:8" x14ac:dyDescent="0.2">
      <c r="B34" t="s">
        <v>562</v>
      </c>
      <c r="C34" t="s">
        <v>817</v>
      </c>
      <c r="D34" t="s">
        <v>794</v>
      </c>
      <c r="E34" t="s">
        <v>883</v>
      </c>
      <c r="F34" s="245">
        <v>0.875</v>
      </c>
      <c r="G34" s="416">
        <v>8.8838349738815255E-4</v>
      </c>
      <c r="H34" s="417">
        <v>5.46875E-2</v>
      </c>
    </row>
    <row r="35" spans="2:8" x14ac:dyDescent="0.2">
      <c r="C35" t="s">
        <v>516</v>
      </c>
      <c r="D35" t="s">
        <v>516</v>
      </c>
      <c r="E35" t="s">
        <v>885</v>
      </c>
      <c r="F35" s="245">
        <v>3.625</v>
      </c>
      <c r="G35" s="416">
        <v>3.6804459177509179E-3</v>
      </c>
      <c r="H35" s="417">
        <v>0.2265625</v>
      </c>
    </row>
    <row r="36" spans="2:8" x14ac:dyDescent="0.2">
      <c r="E36" t="s">
        <v>887</v>
      </c>
      <c r="F36" s="245">
        <v>1.125</v>
      </c>
      <c r="G36" s="416">
        <v>1.1422073537847677E-3</v>
      </c>
      <c r="H36" s="417">
        <v>7.03125E-2</v>
      </c>
    </row>
    <row r="37" spans="2:8" x14ac:dyDescent="0.2">
      <c r="E37" t="s">
        <v>889</v>
      </c>
      <c r="F37" s="245">
        <v>1.125</v>
      </c>
      <c r="G37" s="416">
        <v>1.1422073537847677E-3</v>
      </c>
      <c r="H37" s="417">
        <v>7.03125E-2</v>
      </c>
    </row>
    <row r="38" spans="2:8" x14ac:dyDescent="0.2">
      <c r="E38" t="s">
        <v>896</v>
      </c>
      <c r="F38" s="245">
        <v>37.375</v>
      </c>
      <c r="G38" s="416">
        <v>3.7946666531293943E-2</v>
      </c>
      <c r="H38" s="417">
        <v>2.3359375</v>
      </c>
    </row>
    <row r="39" spans="2:8" x14ac:dyDescent="0.2">
      <c r="E39" t="s">
        <v>1270</v>
      </c>
      <c r="F39" s="245">
        <v>4.625</v>
      </c>
      <c r="G39" s="416">
        <v>4.6957413433373774E-3</v>
      </c>
      <c r="H39" s="417">
        <v>0.2890625</v>
      </c>
    </row>
    <row r="40" spans="2:8" x14ac:dyDescent="0.2">
      <c r="E40" t="s">
        <v>894</v>
      </c>
      <c r="F40" s="245">
        <v>2.125</v>
      </c>
      <c r="G40" s="416">
        <v>2.1575027793712277E-3</v>
      </c>
      <c r="H40" s="417">
        <v>0.1328125</v>
      </c>
    </row>
    <row r="41" spans="2:8" x14ac:dyDescent="0.2">
      <c r="E41" t="s">
        <v>910</v>
      </c>
      <c r="F41" s="245">
        <v>3.5</v>
      </c>
      <c r="G41" s="416">
        <v>3.5535339895526102E-3</v>
      </c>
      <c r="H41" s="417">
        <v>0.21875</v>
      </c>
    </row>
    <row r="42" spans="2:8" x14ac:dyDescent="0.2">
      <c r="E42" t="s">
        <v>906</v>
      </c>
      <c r="F42" s="245">
        <v>1.625</v>
      </c>
      <c r="G42" s="416">
        <v>1.6498550665779977E-3</v>
      </c>
      <c r="H42" s="417">
        <v>0.1015625</v>
      </c>
    </row>
    <row r="43" spans="2:8" x14ac:dyDescent="0.2">
      <c r="E43" t="s">
        <v>908</v>
      </c>
      <c r="F43" s="245">
        <v>1.5</v>
      </c>
      <c r="G43" s="416">
        <v>1.5229431383796902E-3</v>
      </c>
      <c r="H43" s="417">
        <v>9.375E-2</v>
      </c>
    </row>
    <row r="44" spans="2:8" x14ac:dyDescent="0.2">
      <c r="E44" t="s">
        <v>892</v>
      </c>
      <c r="F44" s="245">
        <v>0.5</v>
      </c>
      <c r="G44" s="416">
        <v>5.0764771279323E-4</v>
      </c>
      <c r="H44" s="417">
        <v>3.125E-2</v>
      </c>
    </row>
    <row r="45" spans="2:8" x14ac:dyDescent="0.2">
      <c r="E45" t="s">
        <v>844</v>
      </c>
      <c r="F45" s="245">
        <v>6.125</v>
      </c>
      <c r="G45" s="416">
        <v>6.2186844817170676E-3</v>
      </c>
      <c r="H45" s="417">
        <v>0.3828125</v>
      </c>
    </row>
    <row r="46" spans="2:8" x14ac:dyDescent="0.2">
      <c r="B46" t="s">
        <v>1255</v>
      </c>
      <c r="F46" s="245">
        <v>64.125</v>
      </c>
      <c r="G46" s="416">
        <v>6.5105819165731757E-2</v>
      </c>
      <c r="H46" s="417">
        <v>4.0078125</v>
      </c>
    </row>
    <row r="47" spans="2:8" x14ac:dyDescent="0.2">
      <c r="B47" t="s">
        <v>915</v>
      </c>
      <c r="C47" t="s">
        <v>516</v>
      </c>
      <c r="D47" t="s">
        <v>516</v>
      </c>
      <c r="E47" t="s">
        <v>1177</v>
      </c>
      <c r="F47" s="245">
        <v>0.5</v>
      </c>
      <c r="G47" s="416">
        <v>5.0764771279323E-4</v>
      </c>
      <c r="H47" s="417">
        <v>3.125E-2</v>
      </c>
    </row>
    <row r="48" spans="2:8" x14ac:dyDescent="0.2">
      <c r="E48" t="s">
        <v>917</v>
      </c>
      <c r="F48" s="245">
        <v>0.5</v>
      </c>
      <c r="G48" s="416">
        <v>5.0764771279323E-4</v>
      </c>
      <c r="H48" s="417">
        <v>3.125E-2</v>
      </c>
    </row>
    <row r="49" spans="2:8" x14ac:dyDescent="0.2">
      <c r="E49" t="s">
        <v>929</v>
      </c>
      <c r="F49" s="245">
        <v>0.5</v>
      </c>
      <c r="G49" s="416">
        <v>5.0764771279323E-4</v>
      </c>
      <c r="H49" s="417">
        <v>3.125E-2</v>
      </c>
    </row>
    <row r="50" spans="2:8" x14ac:dyDescent="0.2">
      <c r="E50" t="s">
        <v>949</v>
      </c>
      <c r="F50" s="245">
        <v>2.25</v>
      </c>
      <c r="G50" s="416">
        <v>2.2844147075695353E-3</v>
      </c>
      <c r="H50" s="417">
        <v>0.140625</v>
      </c>
    </row>
    <row r="51" spans="2:8" x14ac:dyDescent="0.2">
      <c r="E51" t="s">
        <v>950</v>
      </c>
      <c r="F51" s="245">
        <v>2.625</v>
      </c>
      <c r="G51" s="416">
        <v>2.6651504921644579E-3</v>
      </c>
      <c r="H51" s="417">
        <v>0.1640625</v>
      </c>
    </row>
    <row r="52" spans="2:8" x14ac:dyDescent="0.2">
      <c r="E52" t="s">
        <v>921</v>
      </c>
      <c r="F52" s="245">
        <v>0.25</v>
      </c>
      <c r="G52" s="416">
        <v>2.53823856396615E-4</v>
      </c>
      <c r="H52" s="417">
        <v>1.5625E-2</v>
      </c>
    </row>
    <row r="53" spans="2:8" x14ac:dyDescent="0.2">
      <c r="E53" t="s">
        <v>938</v>
      </c>
      <c r="F53" s="245">
        <v>9.375</v>
      </c>
      <c r="G53" s="416">
        <v>9.5183946148730634E-3</v>
      </c>
      <c r="H53" s="417">
        <v>0.5859375</v>
      </c>
    </row>
    <row r="54" spans="2:8" x14ac:dyDescent="0.2">
      <c r="E54" t="s">
        <v>933</v>
      </c>
      <c r="F54" s="245">
        <v>0.625</v>
      </c>
      <c r="G54" s="416">
        <v>6.3455964099153755E-4</v>
      </c>
      <c r="H54" s="417">
        <v>3.90625E-2</v>
      </c>
    </row>
    <row r="55" spans="2:8" x14ac:dyDescent="0.2">
      <c r="E55" t="s">
        <v>934</v>
      </c>
      <c r="F55" s="245">
        <v>1.125</v>
      </c>
      <c r="G55" s="416">
        <v>1.1422073537847677E-3</v>
      </c>
      <c r="H55" s="417">
        <v>7.03125E-2</v>
      </c>
    </row>
    <row r="56" spans="2:8" x14ac:dyDescent="0.2">
      <c r="E56" t="s">
        <v>941</v>
      </c>
      <c r="F56" s="245">
        <v>5.625</v>
      </c>
      <c r="G56" s="416">
        <v>5.7110367689238379E-3</v>
      </c>
      <c r="H56" s="417">
        <v>0.3515625</v>
      </c>
    </row>
    <row r="57" spans="2:8" x14ac:dyDescent="0.2">
      <c r="B57" t="s">
        <v>1256</v>
      </c>
      <c r="F57" s="245">
        <v>23.375</v>
      </c>
      <c r="G57" s="416">
        <v>2.3732530573083506E-2</v>
      </c>
      <c r="H57" s="417">
        <v>1.4609375</v>
      </c>
    </row>
    <row r="58" spans="2:8" x14ac:dyDescent="0.2">
      <c r="B58" t="s">
        <v>607</v>
      </c>
      <c r="C58" t="s">
        <v>516</v>
      </c>
      <c r="D58" t="s">
        <v>794</v>
      </c>
      <c r="E58" t="s">
        <v>1191</v>
      </c>
      <c r="F58" s="245">
        <v>4.875</v>
      </c>
      <c r="G58" s="416">
        <v>4.9495651997339928E-3</v>
      </c>
      <c r="H58" s="417">
        <v>0.3046875</v>
      </c>
    </row>
    <row r="59" spans="2:8" x14ac:dyDescent="0.2">
      <c r="D59" t="s">
        <v>516</v>
      </c>
      <c r="E59" t="s">
        <v>952</v>
      </c>
      <c r="F59" s="245">
        <v>0.5</v>
      </c>
      <c r="G59" s="416">
        <v>5.0764771279323E-4</v>
      </c>
      <c r="H59" s="417">
        <v>3.125E-2</v>
      </c>
    </row>
    <row r="60" spans="2:8" x14ac:dyDescent="0.2">
      <c r="E60" t="s">
        <v>1271</v>
      </c>
      <c r="F60" s="245">
        <v>0</v>
      </c>
      <c r="G60" s="416">
        <v>0</v>
      </c>
      <c r="H60" s="417">
        <v>0</v>
      </c>
    </row>
    <row r="61" spans="2:8" x14ac:dyDescent="0.2">
      <c r="E61" t="s">
        <v>912</v>
      </c>
      <c r="F61" s="245">
        <v>0.5</v>
      </c>
      <c r="G61" s="416">
        <v>5.0764771279323E-4</v>
      </c>
      <c r="H61" s="417">
        <v>3.125E-2</v>
      </c>
    </row>
    <row r="62" spans="2:8" x14ac:dyDescent="0.2">
      <c r="E62" t="s">
        <v>954</v>
      </c>
      <c r="F62" s="245">
        <v>2</v>
      </c>
      <c r="G62" s="416">
        <v>2.03059085117292E-3</v>
      </c>
      <c r="H62" s="417">
        <v>0.125</v>
      </c>
    </row>
    <row r="63" spans="2:8" x14ac:dyDescent="0.2">
      <c r="B63" t="s">
        <v>1257</v>
      </c>
      <c r="F63" s="245">
        <v>7.875</v>
      </c>
      <c r="G63" s="416">
        <v>7.9954514764933732E-3</v>
      </c>
      <c r="H63" s="417">
        <v>0.4921875</v>
      </c>
    </row>
    <row r="64" spans="2:8" x14ac:dyDescent="0.2">
      <c r="B64" t="s">
        <v>968</v>
      </c>
      <c r="C64" t="s">
        <v>516</v>
      </c>
      <c r="D64" t="s">
        <v>1030</v>
      </c>
      <c r="E64" t="s">
        <v>1059</v>
      </c>
      <c r="F64" s="245">
        <v>14.25</v>
      </c>
      <c r="G64" s="416">
        <v>1.4467959814607056E-2</v>
      </c>
      <c r="H64" s="417">
        <v>0.890625</v>
      </c>
    </row>
    <row r="65" spans="2:8" x14ac:dyDescent="0.2">
      <c r="D65" t="s">
        <v>516</v>
      </c>
      <c r="E65" t="s">
        <v>972</v>
      </c>
      <c r="F65" s="245">
        <v>1.125</v>
      </c>
      <c r="G65" s="416">
        <v>1.1422073537847677E-3</v>
      </c>
      <c r="H65" s="417">
        <v>7.03125E-2</v>
      </c>
    </row>
    <row r="66" spans="2:8" x14ac:dyDescent="0.2">
      <c r="E66" t="s">
        <v>974</v>
      </c>
      <c r="F66" s="245">
        <v>17.625</v>
      </c>
      <c r="G66" s="416">
        <v>1.7894581875961359E-2</v>
      </c>
      <c r="H66" s="417">
        <v>1.1015625</v>
      </c>
    </row>
    <row r="67" spans="2:8" x14ac:dyDescent="0.2">
      <c r="E67" t="s">
        <v>1068</v>
      </c>
      <c r="F67" s="245">
        <v>56.25</v>
      </c>
      <c r="G67" s="416">
        <v>5.7110367689238377E-2</v>
      </c>
      <c r="H67" s="417">
        <v>3.515625</v>
      </c>
    </row>
    <row r="68" spans="2:8" x14ac:dyDescent="0.2">
      <c r="E68" t="s">
        <v>1070</v>
      </c>
      <c r="F68" s="245">
        <v>20.375</v>
      </c>
      <c r="G68" s="416">
        <v>2.0686644296324126E-2</v>
      </c>
      <c r="H68" s="417">
        <v>1.2734375</v>
      </c>
    </row>
    <row r="69" spans="2:8" x14ac:dyDescent="0.2">
      <c r="E69" t="s">
        <v>967</v>
      </c>
      <c r="F69" s="245">
        <v>41.375</v>
      </c>
      <c r="G69" s="416">
        <v>4.2007848233639788E-2</v>
      </c>
      <c r="H69" s="417">
        <v>2.5859375</v>
      </c>
    </row>
    <row r="70" spans="2:8" x14ac:dyDescent="0.2">
      <c r="B70" t="s">
        <v>1259</v>
      </c>
      <c r="F70" s="245">
        <v>151</v>
      </c>
      <c r="G70" s="416">
        <v>0.15330960926355547</v>
      </c>
      <c r="H70" s="417">
        <v>9.4375</v>
      </c>
    </row>
    <row r="71" spans="2:8" x14ac:dyDescent="0.2">
      <c r="B71" t="s">
        <v>602</v>
      </c>
      <c r="C71" t="s">
        <v>516</v>
      </c>
      <c r="D71" t="s">
        <v>516</v>
      </c>
      <c r="E71" t="s">
        <v>1272</v>
      </c>
      <c r="F71" s="245">
        <v>3.875</v>
      </c>
      <c r="G71" s="416">
        <v>3.9342697741475332E-3</v>
      </c>
      <c r="H71" s="417">
        <v>0.2421875</v>
      </c>
    </row>
    <row r="72" spans="2:8" x14ac:dyDescent="0.2">
      <c r="E72" t="s">
        <v>1273</v>
      </c>
      <c r="F72" s="245">
        <v>1</v>
      </c>
      <c r="G72" s="416">
        <v>1.01529542558646E-3</v>
      </c>
      <c r="H72" s="417">
        <v>6.25E-2</v>
      </c>
    </row>
    <row r="73" spans="2:8" x14ac:dyDescent="0.2">
      <c r="E73" t="s">
        <v>995</v>
      </c>
      <c r="F73" s="245">
        <v>3.875</v>
      </c>
      <c r="G73" s="416">
        <v>3.9342697741475332E-3</v>
      </c>
      <c r="H73" s="417">
        <v>0.2421875</v>
      </c>
    </row>
    <row r="74" spans="2:8" x14ac:dyDescent="0.2">
      <c r="E74" t="s">
        <v>984</v>
      </c>
      <c r="F74" s="245">
        <v>0</v>
      </c>
      <c r="G74" s="416">
        <v>0</v>
      </c>
      <c r="H74" s="417">
        <v>0</v>
      </c>
    </row>
    <row r="75" spans="2:8" x14ac:dyDescent="0.2">
      <c r="E75" t="s">
        <v>1072</v>
      </c>
      <c r="F75" s="245">
        <v>1.375</v>
      </c>
      <c r="G75" s="416">
        <v>1.3960312101813825E-3</v>
      </c>
      <c r="H75" s="417">
        <v>8.59375E-2</v>
      </c>
    </row>
    <row r="76" spans="2:8" x14ac:dyDescent="0.2">
      <c r="E76" t="s">
        <v>989</v>
      </c>
      <c r="F76" s="245">
        <v>8.875</v>
      </c>
      <c r="G76" s="416">
        <v>9.0107469020798327E-3</v>
      </c>
      <c r="H76" s="417">
        <v>0.5546875</v>
      </c>
    </row>
    <row r="77" spans="2:8" x14ac:dyDescent="0.2">
      <c r="E77" t="s">
        <v>987</v>
      </c>
      <c r="F77" s="245">
        <v>0</v>
      </c>
      <c r="G77" s="416">
        <v>0</v>
      </c>
      <c r="H77" s="417">
        <v>0</v>
      </c>
    </row>
    <row r="78" spans="2:8" x14ac:dyDescent="0.2">
      <c r="B78" t="s">
        <v>1260</v>
      </c>
      <c r="F78" s="245">
        <v>19</v>
      </c>
      <c r="G78" s="416">
        <v>1.929061308614274E-2</v>
      </c>
      <c r="H78" s="417">
        <v>1.1875</v>
      </c>
    </row>
    <row r="79" spans="2:8" x14ac:dyDescent="0.2">
      <c r="B79" t="s">
        <v>1027</v>
      </c>
      <c r="C79" t="s">
        <v>516</v>
      </c>
      <c r="D79" t="s">
        <v>516</v>
      </c>
      <c r="E79" t="s">
        <v>877</v>
      </c>
      <c r="F79" s="245">
        <v>70.56</v>
      </c>
      <c r="G79" s="416">
        <v>7.163924522938063E-2</v>
      </c>
      <c r="H79" s="417">
        <v>4.41</v>
      </c>
    </row>
    <row r="80" spans="2:8" x14ac:dyDescent="0.2">
      <c r="E80" t="s">
        <v>555</v>
      </c>
      <c r="F80" s="245">
        <v>352</v>
      </c>
      <c r="G80" s="416">
        <v>0.35738398980643393</v>
      </c>
      <c r="H80" s="417">
        <v>22</v>
      </c>
    </row>
    <row r="81" spans="1:8" x14ac:dyDescent="0.2">
      <c r="E81" t="s">
        <v>881</v>
      </c>
      <c r="F81" s="245">
        <v>13.375</v>
      </c>
      <c r="G81" s="416">
        <v>1.3579576317218903E-2</v>
      </c>
      <c r="H81" s="417">
        <v>0.8359375</v>
      </c>
    </row>
    <row r="82" spans="1:8" x14ac:dyDescent="0.2">
      <c r="B82" t="s">
        <v>1274</v>
      </c>
      <c r="F82" s="245">
        <v>435.935</v>
      </c>
      <c r="G82" s="416">
        <v>0.44260281135303348</v>
      </c>
      <c r="H82" s="417">
        <v>27.2459375</v>
      </c>
    </row>
    <row r="83" spans="1:8" x14ac:dyDescent="0.2">
      <c r="A83" t="s">
        <v>1261</v>
      </c>
      <c r="F83" s="245">
        <v>978.18499999999995</v>
      </c>
      <c r="G83" s="416">
        <v>0.9931467558772914</v>
      </c>
      <c r="H83" s="417">
        <v>61.136562499999997</v>
      </c>
    </row>
    <row r="84" spans="1:8" x14ac:dyDescent="0.2">
      <c r="A84" t="s">
        <v>998</v>
      </c>
      <c r="B84" t="s">
        <v>862</v>
      </c>
      <c r="C84" t="s">
        <v>516</v>
      </c>
      <c r="D84" t="s">
        <v>516</v>
      </c>
      <c r="E84" t="s">
        <v>1318</v>
      </c>
      <c r="F84" s="245">
        <v>0.375</v>
      </c>
      <c r="G84" s="416">
        <v>3.8073578459492255E-4</v>
      </c>
      <c r="H84" s="417">
        <v>2.34375E-2</v>
      </c>
    </row>
    <row r="85" spans="1:8" x14ac:dyDescent="0.2">
      <c r="B85" t="s">
        <v>1252</v>
      </c>
      <c r="F85" s="245">
        <v>0.375</v>
      </c>
      <c r="G85" s="416">
        <v>3.8073578459492255E-4</v>
      </c>
      <c r="H85" s="417">
        <v>2.34375E-2</v>
      </c>
    </row>
    <row r="86" spans="1:8" x14ac:dyDescent="0.2">
      <c r="B86" t="s">
        <v>562</v>
      </c>
      <c r="C86" t="s">
        <v>516</v>
      </c>
      <c r="D86" t="s">
        <v>516</v>
      </c>
      <c r="E86" t="s">
        <v>1275</v>
      </c>
      <c r="F86" s="245">
        <v>2.375</v>
      </c>
      <c r="G86" s="416">
        <v>2.4113266357678425E-3</v>
      </c>
      <c r="H86" s="417">
        <v>0.1484375</v>
      </c>
    </row>
    <row r="87" spans="1:8" x14ac:dyDescent="0.2">
      <c r="B87" t="s">
        <v>1255</v>
      </c>
      <c r="F87" s="245">
        <v>2.375</v>
      </c>
      <c r="G87" s="416">
        <v>2.4113266357678425E-3</v>
      </c>
      <c r="H87" s="417">
        <v>0.1484375</v>
      </c>
    </row>
    <row r="88" spans="1:8" x14ac:dyDescent="0.2">
      <c r="B88" t="s">
        <v>1189</v>
      </c>
      <c r="C88" t="s">
        <v>516</v>
      </c>
      <c r="D88" t="s">
        <v>516</v>
      </c>
      <c r="E88" t="s">
        <v>1276</v>
      </c>
      <c r="F88" s="245">
        <v>4</v>
      </c>
      <c r="G88" s="416">
        <v>4.06118170234584E-3</v>
      </c>
      <c r="H88" s="417">
        <v>0.25</v>
      </c>
    </row>
    <row r="89" spans="1:8" x14ac:dyDescent="0.2">
      <c r="B89" t="s">
        <v>1277</v>
      </c>
      <c r="F89" s="245">
        <v>4</v>
      </c>
      <c r="G89" s="416">
        <v>4.06118170234584E-3</v>
      </c>
      <c r="H89" s="417">
        <v>0.25</v>
      </c>
    </row>
    <row r="90" spans="1:8" x14ac:dyDescent="0.2">
      <c r="A90" t="s">
        <v>1262</v>
      </c>
      <c r="F90" s="245">
        <v>6.75</v>
      </c>
      <c r="G90" s="416">
        <v>6.8532441227086051E-3</v>
      </c>
      <c r="H90" s="417">
        <v>0.421875</v>
      </c>
    </row>
    <row r="91" spans="1:8" x14ac:dyDescent="0.2">
      <c r="A91" s="421" t="s">
        <v>532</v>
      </c>
      <c r="B91" s="421"/>
      <c r="C91" s="421"/>
      <c r="D91" s="421"/>
      <c r="E91" s="421"/>
      <c r="F91" s="422">
        <v>984.93499999999995</v>
      </c>
      <c r="G91" s="423">
        <v>1</v>
      </c>
      <c r="H91" s="424">
        <v>61.558437499999997</v>
      </c>
    </row>
  </sheetData>
  <mergeCells count="1">
    <mergeCell ref="A1:H1"/>
  </mergeCells>
  <printOptions horizontalCentered="1"/>
  <pageMargins left="0.25" right="0.25" top="0.75" bottom="0.75" header="0.3" footer="0.3"/>
  <pageSetup scale="56"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3"/>
  <sheetViews>
    <sheetView zoomScaleNormal="100" workbookViewId="0">
      <pane ySplit="2" topLeftCell="A3" activePane="bottomLeft" state="frozen"/>
      <selection pane="bottomLeft" sqref="A1:Q1"/>
    </sheetView>
  </sheetViews>
  <sheetFormatPr baseColWidth="10" defaultColWidth="10.6640625" defaultRowHeight="16" x14ac:dyDescent="0.2"/>
  <cols>
    <col min="1" max="1" width="25.1640625" style="97" bestFit="1" customWidth="1"/>
    <col min="2" max="2" width="12.33203125" style="98" bestFit="1" customWidth="1"/>
    <col min="3" max="3" width="16.83203125" style="98" customWidth="1"/>
    <col min="4" max="4" width="16.33203125" style="98" bestFit="1" customWidth="1"/>
    <col min="5" max="5" width="19.33203125" style="98" bestFit="1" customWidth="1"/>
    <col min="6" max="6" width="14.1640625" style="98" bestFit="1" customWidth="1"/>
    <col min="7" max="7" width="27.6640625" style="98" customWidth="1"/>
    <col min="8" max="8" width="8.5" style="98" bestFit="1" customWidth="1"/>
    <col min="9" max="9" width="11.33203125" style="100" bestFit="1" customWidth="1"/>
    <col min="10" max="10" width="9.6640625" style="100" bestFit="1" customWidth="1"/>
    <col min="11" max="11" width="11.33203125" style="100" bestFit="1" customWidth="1"/>
    <col min="12" max="12" width="10" style="101" customWidth="1"/>
    <col min="13" max="13" width="12.1640625" style="98" customWidth="1"/>
    <col min="14" max="14" width="10.83203125" style="98" customWidth="1"/>
    <col min="15" max="15" width="9" style="98" customWidth="1"/>
    <col min="16" max="16" width="9.33203125" style="98" customWidth="1"/>
    <col min="17" max="17" width="40.5" style="99" bestFit="1" customWidth="1"/>
    <col min="18" max="18" width="9.6640625" style="99" bestFit="1" customWidth="1"/>
    <col min="19" max="16384" width="10.6640625" style="99"/>
  </cols>
  <sheetData>
    <row r="1" spans="1:18" ht="64" customHeight="1" x14ac:dyDescent="0.2">
      <c r="A1" s="444" t="s">
        <v>741</v>
      </c>
      <c r="B1" s="444"/>
      <c r="C1" s="444"/>
      <c r="D1" s="444"/>
      <c r="E1" s="444"/>
      <c r="F1" s="444"/>
      <c r="G1" s="444"/>
      <c r="H1" s="444"/>
      <c r="I1" s="444"/>
      <c r="J1" s="444"/>
      <c r="K1" s="444"/>
      <c r="L1" s="444"/>
      <c r="M1" s="444"/>
      <c r="N1" s="444"/>
      <c r="O1" s="444"/>
      <c r="P1" s="444"/>
      <c r="Q1" s="444"/>
    </row>
    <row r="2" spans="1:18" s="94" customFormat="1" ht="64" x14ac:dyDescent="0.2">
      <c r="A2" s="92" t="s">
        <v>126</v>
      </c>
      <c r="B2" s="93" t="s">
        <v>127</v>
      </c>
      <c r="C2" s="93" t="s">
        <v>128</v>
      </c>
      <c r="D2" s="93" t="s">
        <v>129</v>
      </c>
      <c r="E2" s="93" t="s">
        <v>130</v>
      </c>
      <c r="F2" s="93" t="s">
        <v>131</v>
      </c>
      <c r="G2" s="93" t="s">
        <v>132</v>
      </c>
      <c r="H2" s="93" t="s">
        <v>133</v>
      </c>
      <c r="I2" s="95" t="s">
        <v>134</v>
      </c>
      <c r="J2" s="95" t="s">
        <v>135</v>
      </c>
      <c r="K2" s="95" t="s">
        <v>136</v>
      </c>
      <c r="L2" s="96" t="s">
        <v>137</v>
      </c>
      <c r="M2" s="96" t="s">
        <v>138</v>
      </c>
      <c r="N2" s="93" t="s">
        <v>139</v>
      </c>
      <c r="O2" s="93" t="s">
        <v>140</v>
      </c>
      <c r="P2" s="93" t="s">
        <v>141</v>
      </c>
      <c r="Q2" s="94" t="s">
        <v>28</v>
      </c>
    </row>
    <row r="3" spans="1:18" s="88" customFormat="1" ht="51" x14ac:dyDescent="0.2">
      <c r="A3" s="85">
        <v>43295</v>
      </c>
      <c r="B3" s="86" t="s">
        <v>736</v>
      </c>
      <c r="C3" s="87">
        <v>3557368</v>
      </c>
      <c r="D3" s="87" t="s">
        <v>737</v>
      </c>
      <c r="E3" s="87" t="s">
        <v>738</v>
      </c>
      <c r="F3" s="87" t="s">
        <v>739</v>
      </c>
      <c r="G3" s="87"/>
      <c r="H3" s="87"/>
      <c r="I3" s="89"/>
      <c r="J3" s="89"/>
      <c r="K3" s="89">
        <v>261.33999999999997</v>
      </c>
      <c r="L3" s="90"/>
      <c r="M3" s="90"/>
      <c r="N3" s="87"/>
      <c r="O3" s="87" t="s">
        <v>12</v>
      </c>
      <c r="P3" s="87" t="s">
        <v>153</v>
      </c>
    </row>
    <row r="4" spans="1:18" s="88" customFormat="1" ht="102" x14ac:dyDescent="0.2">
      <c r="A4" s="85">
        <v>43296</v>
      </c>
      <c r="B4" s="87" t="s">
        <v>666</v>
      </c>
      <c r="C4" s="87" t="s">
        <v>752</v>
      </c>
      <c r="D4" s="87" t="s">
        <v>142</v>
      </c>
      <c r="E4" s="87" t="s">
        <v>143</v>
      </c>
      <c r="F4" s="87"/>
      <c r="G4" s="87"/>
      <c r="H4" s="87"/>
      <c r="I4" s="89">
        <f>1001.4+383.26</f>
        <v>1384.6599999999999</v>
      </c>
      <c r="J4" s="89">
        <v>43.04</v>
      </c>
      <c r="K4" s="89">
        <f>I4+J4</f>
        <v>1427.6999999999998</v>
      </c>
      <c r="L4" s="90"/>
      <c r="M4" s="90"/>
      <c r="N4" s="87"/>
      <c r="O4" s="87"/>
      <c r="P4" s="87"/>
    </row>
    <row r="5" spans="1:18" s="88" customFormat="1" ht="136" x14ac:dyDescent="0.2">
      <c r="A5" s="85">
        <v>43296</v>
      </c>
      <c r="B5" s="87" t="s">
        <v>183</v>
      </c>
      <c r="C5" s="87" t="s">
        <v>753</v>
      </c>
      <c r="D5" s="87" t="s">
        <v>144</v>
      </c>
      <c r="E5" s="87" t="s">
        <v>145</v>
      </c>
      <c r="F5" s="87" t="s">
        <v>146</v>
      </c>
      <c r="G5" s="87"/>
      <c r="H5" s="87"/>
      <c r="I5" s="89">
        <v>0</v>
      </c>
      <c r="J5" s="89">
        <v>99.26</v>
      </c>
      <c r="K5" s="89">
        <f>I5+J5</f>
        <v>99.26</v>
      </c>
      <c r="L5" s="90"/>
      <c r="M5" s="90"/>
      <c r="N5" s="87"/>
      <c r="O5" s="87"/>
      <c r="P5" s="87"/>
    </row>
    <row r="6" spans="1:18" s="88" customFormat="1" ht="68" x14ac:dyDescent="0.2">
      <c r="A6" s="85">
        <v>43296</v>
      </c>
      <c r="B6" s="86" t="s">
        <v>178</v>
      </c>
      <c r="C6" s="87" t="s">
        <v>754</v>
      </c>
      <c r="D6" s="87" t="s">
        <v>147</v>
      </c>
      <c r="E6" s="87" t="s">
        <v>148</v>
      </c>
      <c r="F6" s="87" t="s">
        <v>149</v>
      </c>
      <c r="G6" s="87" t="s">
        <v>150</v>
      </c>
      <c r="H6" s="87">
        <v>7818</v>
      </c>
      <c r="I6" s="89">
        <v>179</v>
      </c>
      <c r="J6" s="89">
        <f>((I6*5)*0.13)+8.95</f>
        <v>125.30000000000001</v>
      </c>
      <c r="K6" s="89">
        <f>(I6*5)+J6</f>
        <v>1020.3</v>
      </c>
      <c r="L6" s="90" t="s">
        <v>12</v>
      </c>
      <c r="M6" s="87" t="s">
        <v>151</v>
      </c>
      <c r="N6" s="87" t="s">
        <v>152</v>
      </c>
      <c r="O6" s="87" t="s">
        <v>152</v>
      </c>
      <c r="P6" s="87" t="s">
        <v>153</v>
      </c>
      <c r="Q6" s="88" t="s">
        <v>179</v>
      </c>
    </row>
    <row r="7" spans="1:18" s="88" customFormat="1" ht="51" x14ac:dyDescent="0.2">
      <c r="A7" s="85">
        <v>43301</v>
      </c>
      <c r="B7" s="86" t="s">
        <v>157</v>
      </c>
      <c r="C7" s="87" t="s">
        <v>755</v>
      </c>
      <c r="D7" s="87" t="s">
        <v>154</v>
      </c>
      <c r="E7" s="87" t="s">
        <v>155</v>
      </c>
      <c r="F7" s="87" t="s">
        <v>156</v>
      </c>
      <c r="G7" s="87"/>
      <c r="H7" s="87"/>
      <c r="I7" s="89"/>
      <c r="J7" s="89"/>
      <c r="K7" s="89"/>
      <c r="L7" s="90"/>
      <c r="M7" s="87"/>
      <c r="N7" s="87"/>
      <c r="O7" s="87"/>
      <c r="P7" s="87"/>
    </row>
    <row r="8" spans="1:18" s="88" customFormat="1" ht="136" x14ac:dyDescent="0.2">
      <c r="A8" s="85">
        <v>43301</v>
      </c>
      <c r="B8" s="86" t="s">
        <v>184</v>
      </c>
      <c r="C8" s="87" t="s">
        <v>753</v>
      </c>
      <c r="D8" s="87" t="s">
        <v>144</v>
      </c>
      <c r="E8" s="87" t="s">
        <v>158</v>
      </c>
      <c r="F8" s="87" t="s">
        <v>159</v>
      </c>
      <c r="G8" s="87"/>
      <c r="H8" s="87"/>
      <c r="I8" s="89"/>
      <c r="J8" s="89"/>
      <c r="K8" s="89"/>
      <c r="L8" s="90"/>
      <c r="M8" s="87"/>
      <c r="N8" s="87"/>
      <c r="O8" s="87"/>
      <c r="P8" s="87"/>
    </row>
    <row r="9" spans="1:18" s="88" customFormat="1" ht="192" x14ac:dyDescent="0.2">
      <c r="A9" s="85">
        <v>43301</v>
      </c>
      <c r="B9" s="87" t="s">
        <v>173</v>
      </c>
      <c r="C9" s="87" t="s">
        <v>174</v>
      </c>
      <c r="D9" s="87" t="s">
        <v>667</v>
      </c>
      <c r="E9" s="87" t="s">
        <v>160</v>
      </c>
      <c r="F9" s="87" t="s">
        <v>161</v>
      </c>
      <c r="G9" s="87" t="s">
        <v>162</v>
      </c>
      <c r="H9" s="87"/>
      <c r="I9" s="89">
        <v>6.5</v>
      </c>
      <c r="J9" s="89"/>
      <c r="K9" s="91">
        <f>(I9*2)+J9</f>
        <v>13</v>
      </c>
      <c r="L9" s="90"/>
      <c r="M9" s="87"/>
      <c r="N9" s="87"/>
      <c r="O9" s="87"/>
      <c r="P9" s="87"/>
      <c r="Q9" s="88" t="s">
        <v>177</v>
      </c>
    </row>
    <row r="10" spans="1:18" s="88" customFormat="1" ht="85" x14ac:dyDescent="0.2">
      <c r="A10" s="85">
        <v>43301</v>
      </c>
      <c r="B10" s="87" t="s">
        <v>175</v>
      </c>
      <c r="C10" s="87" t="s">
        <v>756</v>
      </c>
      <c r="D10" s="87" t="s">
        <v>163</v>
      </c>
      <c r="E10" s="87" t="s">
        <v>164</v>
      </c>
      <c r="F10" s="87" t="s">
        <v>165</v>
      </c>
      <c r="G10" s="87" t="s">
        <v>166</v>
      </c>
      <c r="H10" s="87">
        <v>3944</v>
      </c>
      <c r="I10" s="89">
        <v>125</v>
      </c>
      <c r="J10" s="89">
        <f>I10*0.12</f>
        <v>15</v>
      </c>
      <c r="K10" s="89">
        <f>I10+J10</f>
        <v>140</v>
      </c>
      <c r="L10" s="90"/>
      <c r="M10" s="87" t="s">
        <v>167</v>
      </c>
      <c r="N10" s="87" t="s">
        <v>152</v>
      </c>
      <c r="O10" s="87"/>
      <c r="P10" s="87" t="s">
        <v>152</v>
      </c>
      <c r="Q10" s="88" t="s">
        <v>176</v>
      </c>
    </row>
    <row r="11" spans="1:18" ht="204" x14ac:dyDescent="0.2">
      <c r="A11" s="97">
        <v>43331</v>
      </c>
      <c r="B11" s="98" t="s">
        <v>168</v>
      </c>
      <c r="D11" s="98" t="s">
        <v>169</v>
      </c>
      <c r="E11" s="98" t="s">
        <v>170</v>
      </c>
      <c r="G11" s="102" t="s">
        <v>181</v>
      </c>
      <c r="I11" s="100">
        <v>13</v>
      </c>
      <c r="K11" s="100">
        <f>I11*2</f>
        <v>26</v>
      </c>
      <c r="Q11" s="99" t="s">
        <v>182</v>
      </c>
      <c r="R11" s="99" t="s">
        <v>180</v>
      </c>
    </row>
    <row r="12" spans="1:18" s="88" customFormat="1" ht="102" x14ac:dyDescent="0.2">
      <c r="A12" s="85">
        <v>43340</v>
      </c>
      <c r="B12" s="87" t="s">
        <v>701</v>
      </c>
      <c r="C12" s="87" t="s">
        <v>757</v>
      </c>
      <c r="D12" s="87" t="s">
        <v>142</v>
      </c>
      <c r="E12" s="87" t="s">
        <v>171</v>
      </c>
      <c r="F12" s="87"/>
      <c r="G12" s="87"/>
      <c r="H12" s="87"/>
      <c r="I12" s="89">
        <v>0</v>
      </c>
      <c r="J12" s="89">
        <v>11.2</v>
      </c>
      <c r="K12" s="89">
        <f>I12+J12</f>
        <v>11.2</v>
      </c>
      <c r="L12" s="90"/>
      <c r="M12" s="87"/>
      <c r="N12" s="87"/>
      <c r="O12" s="87"/>
      <c r="P12" s="87"/>
    </row>
    <row r="13" spans="1:18" ht="17" x14ac:dyDescent="0.2">
      <c r="J13" s="347" t="s">
        <v>172</v>
      </c>
      <c r="K13" s="347">
        <f>SUM(K3:K12)</f>
        <v>2998.7999999999993</v>
      </c>
    </row>
  </sheetData>
  <mergeCells count="1">
    <mergeCell ref="A1:Q1"/>
  </mergeCells>
  <printOptions horizontalCentered="1" headings="1"/>
  <pageMargins left="0.2" right="0.2" top="0.55000000000000004" bottom="0.3" header="0.25" footer="0.25"/>
  <pageSetup scale="43" orientation="landscape" horizontalDpi="4294967292" verticalDpi="4294967292"/>
  <headerFooter>
    <oddHeader>&amp;C&amp;"Lucida Grande Bold,Bold"&amp;16&amp;K000000JMT Hike 2018
Itinerary and Logistics</oddHeader>
    <oddFooter>&amp;R&amp;"Helvetica,Regular"&amp;K000000Page &amp;P of &amp;N</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
  <sheetViews>
    <sheetView zoomScale="90" zoomScaleNormal="90" zoomScalePageLayoutView="88" workbookViewId="0">
      <pane ySplit="2" topLeftCell="A3" activePane="bottomLeft" state="frozen"/>
      <selection pane="bottomLeft" sqref="A1:R1"/>
    </sheetView>
  </sheetViews>
  <sheetFormatPr baseColWidth="10" defaultColWidth="42.33203125" defaultRowHeight="16" x14ac:dyDescent="0.2"/>
  <cols>
    <col min="1" max="1" width="17.6640625" style="313" customWidth="1"/>
    <col min="2" max="2" width="24.5" style="313" customWidth="1"/>
    <col min="3" max="3" width="27.6640625" style="314" customWidth="1"/>
    <col min="4" max="4" width="26.1640625" style="313" bestFit="1" customWidth="1"/>
    <col min="5" max="5" width="13.6640625" style="313" customWidth="1"/>
    <col min="6" max="6" width="10.33203125" style="313" bestFit="1" customWidth="1"/>
    <col min="7" max="7" width="12" style="313" customWidth="1"/>
    <col min="8" max="8" width="21.33203125" style="315" customWidth="1"/>
    <col min="9" max="9" width="28.5" style="315" bestFit="1" customWidth="1"/>
    <col min="10" max="10" width="12.83203125" style="313" bestFit="1" customWidth="1"/>
    <col min="11" max="11" width="12.1640625" style="313" customWidth="1"/>
    <col min="12" max="12" width="13" style="320" bestFit="1" customWidth="1"/>
    <col min="13" max="13" width="8.6640625" style="320" bestFit="1" customWidth="1"/>
    <col min="14" max="14" width="5.83203125" style="313" bestFit="1" customWidth="1"/>
    <col min="15" max="15" width="30.6640625" style="315" bestFit="1" customWidth="1"/>
    <col min="16" max="16" width="60.33203125" style="315" customWidth="1"/>
    <col min="17" max="17" width="27.33203125" style="317" bestFit="1" customWidth="1"/>
    <col min="18" max="18" width="42.33203125" style="313"/>
    <col min="19" max="16384" width="42.33203125" style="315"/>
  </cols>
  <sheetData>
    <row r="1" spans="1:18" ht="67" customHeight="1" x14ac:dyDescent="0.2">
      <c r="A1" s="445" t="s">
        <v>742</v>
      </c>
      <c r="B1" s="446"/>
      <c r="C1" s="446"/>
      <c r="D1" s="446"/>
      <c r="E1" s="446"/>
      <c r="F1" s="446"/>
      <c r="G1" s="446"/>
      <c r="H1" s="446"/>
      <c r="I1" s="446"/>
      <c r="J1" s="446"/>
      <c r="K1" s="446"/>
      <c r="L1" s="446"/>
      <c r="M1" s="446"/>
      <c r="N1" s="446"/>
      <c r="O1" s="446"/>
      <c r="P1" s="446"/>
      <c r="Q1" s="446"/>
      <c r="R1" s="447"/>
    </row>
    <row r="2" spans="1:18" s="310" customFormat="1" ht="48" x14ac:dyDescent="0.2">
      <c r="A2" s="308" t="s">
        <v>185</v>
      </c>
      <c r="B2" s="308" t="s">
        <v>186</v>
      </c>
      <c r="C2" s="309" t="s">
        <v>187</v>
      </c>
      <c r="D2" s="308" t="s">
        <v>188</v>
      </c>
      <c r="E2" s="308" t="s">
        <v>189</v>
      </c>
      <c r="F2" s="308" t="s">
        <v>190</v>
      </c>
      <c r="G2" s="308" t="s">
        <v>191</v>
      </c>
      <c r="H2" s="310" t="s">
        <v>192</v>
      </c>
      <c r="I2" s="310" t="s">
        <v>130</v>
      </c>
      <c r="J2" s="308" t="s">
        <v>193</v>
      </c>
      <c r="K2" s="308" t="s">
        <v>194</v>
      </c>
      <c r="L2" s="311" t="s">
        <v>195</v>
      </c>
      <c r="M2" s="311" t="s">
        <v>196</v>
      </c>
      <c r="N2" s="308" t="s">
        <v>197</v>
      </c>
      <c r="O2" s="310" t="s">
        <v>198</v>
      </c>
      <c r="P2" s="310" t="s">
        <v>28</v>
      </c>
      <c r="Q2" s="312" t="s">
        <v>729</v>
      </c>
      <c r="R2" s="308" t="s">
        <v>730</v>
      </c>
    </row>
    <row r="3" spans="1:18" s="326" customFormat="1" ht="291" customHeight="1" x14ac:dyDescent="0.2">
      <c r="A3" s="322" t="s">
        <v>201</v>
      </c>
      <c r="B3" s="323">
        <f>C3-(4+21)</f>
        <v>43286</v>
      </c>
      <c r="C3" s="324">
        <v>43311</v>
      </c>
      <c r="D3" s="322" t="s">
        <v>199</v>
      </c>
      <c r="E3" s="322" t="s">
        <v>200</v>
      </c>
      <c r="F3" s="325">
        <v>43286</v>
      </c>
      <c r="G3" s="322" t="s">
        <v>222</v>
      </c>
      <c r="H3" s="326" t="s">
        <v>15</v>
      </c>
      <c r="I3" s="326" t="s">
        <v>202</v>
      </c>
      <c r="J3" s="322" t="s">
        <v>203</v>
      </c>
      <c r="K3" s="327" t="s">
        <v>204</v>
      </c>
      <c r="L3" s="328" t="s">
        <v>205</v>
      </c>
      <c r="M3" s="328">
        <f>80+63.4</f>
        <v>143.4</v>
      </c>
      <c r="N3" s="322" t="s">
        <v>206</v>
      </c>
      <c r="O3" s="329" t="s">
        <v>207</v>
      </c>
      <c r="P3" s="326" t="s">
        <v>724</v>
      </c>
      <c r="Q3" s="330" t="s">
        <v>735</v>
      </c>
      <c r="R3" s="322"/>
    </row>
    <row r="4" spans="1:18" s="326" customFormat="1" ht="157" customHeight="1" x14ac:dyDescent="0.2">
      <c r="A4" s="322" t="s">
        <v>208</v>
      </c>
      <c r="B4" s="323">
        <f>C4-(7+14)</f>
        <v>43295</v>
      </c>
      <c r="C4" s="331">
        <v>43316</v>
      </c>
      <c r="D4" s="322" t="s">
        <v>209</v>
      </c>
      <c r="E4" s="322" t="s">
        <v>613</v>
      </c>
      <c r="F4" s="325">
        <v>43294</v>
      </c>
      <c r="G4" s="322" t="s">
        <v>223</v>
      </c>
      <c r="H4" s="326" t="s">
        <v>210</v>
      </c>
      <c r="I4" s="326" t="s">
        <v>725</v>
      </c>
      <c r="J4" s="322" t="s">
        <v>211</v>
      </c>
      <c r="K4" s="327" t="s">
        <v>212</v>
      </c>
      <c r="L4" s="328" t="s">
        <v>224</v>
      </c>
      <c r="M4" s="328">
        <f>(30*2)+(45.27+45.27)</f>
        <v>150.54000000000002</v>
      </c>
      <c r="N4" s="322" t="s">
        <v>206</v>
      </c>
      <c r="O4" s="329" t="s">
        <v>213</v>
      </c>
      <c r="P4" s="326" t="s">
        <v>614</v>
      </c>
      <c r="Q4" s="330" t="s">
        <v>731</v>
      </c>
      <c r="R4" s="332" t="s">
        <v>732</v>
      </c>
    </row>
    <row r="5" spans="1:18" s="326" customFormat="1" ht="204" x14ac:dyDescent="0.2">
      <c r="A5" s="333" t="s">
        <v>617</v>
      </c>
      <c r="B5" s="323">
        <f>C5-(4+14)</f>
        <v>43304</v>
      </c>
      <c r="C5" s="331">
        <v>43322</v>
      </c>
      <c r="D5" s="322" t="s">
        <v>615</v>
      </c>
      <c r="E5" s="322" t="s">
        <v>200</v>
      </c>
      <c r="F5" s="325">
        <v>43294</v>
      </c>
      <c r="G5" s="322" t="s">
        <v>225</v>
      </c>
      <c r="H5" s="326" t="s">
        <v>214</v>
      </c>
      <c r="I5" s="326" t="s">
        <v>226</v>
      </c>
      <c r="J5" s="322" t="s">
        <v>215</v>
      </c>
      <c r="K5" s="327" t="s">
        <v>216</v>
      </c>
      <c r="L5" s="334" t="s">
        <v>707</v>
      </c>
      <c r="M5" s="334">
        <f>(40*2)+(59.35+56.45)</f>
        <v>195.8</v>
      </c>
      <c r="N5" s="322" t="s">
        <v>206</v>
      </c>
      <c r="O5" s="329" t="s">
        <v>217</v>
      </c>
      <c r="P5" s="326" t="s">
        <v>218</v>
      </c>
      <c r="Q5" s="330" t="s">
        <v>733</v>
      </c>
      <c r="R5" s="330" t="s">
        <v>734</v>
      </c>
    </row>
    <row r="6" spans="1:18" x14ac:dyDescent="0.2">
      <c r="L6" s="316" t="s">
        <v>219</v>
      </c>
      <c r="M6" s="316">
        <f>SUM(M3:M5)</f>
        <v>489.74000000000007</v>
      </c>
    </row>
    <row r="7" spans="1:18" ht="48" x14ac:dyDescent="0.2">
      <c r="B7" s="318" t="s">
        <v>220</v>
      </c>
      <c r="C7" s="319" t="s">
        <v>221</v>
      </c>
      <c r="D7" s="318" t="s">
        <v>616</v>
      </c>
      <c r="H7" s="314"/>
    </row>
    <row r="8" spans="1:18" x14ac:dyDescent="0.2">
      <c r="B8" s="321">
        <f>C8-(7+7+7+7)</f>
        <v>43258</v>
      </c>
      <c r="C8" s="321">
        <f>B3</f>
        <v>43286</v>
      </c>
      <c r="D8" s="321">
        <f>B4-14</f>
        <v>43281</v>
      </c>
    </row>
  </sheetData>
  <mergeCells count="1">
    <mergeCell ref="A1:R1"/>
  </mergeCells>
  <hyperlinks>
    <hyperlink ref="O4" r:id="rId1" xr:uid="{00000000-0004-0000-0200-000000000000}"/>
    <hyperlink ref="K4" r:id="rId2" xr:uid="{00000000-0004-0000-0200-000001000000}"/>
    <hyperlink ref="O5" r:id="rId3" xr:uid="{00000000-0004-0000-0200-000002000000}"/>
    <hyperlink ref="K5" r:id="rId4" xr:uid="{00000000-0004-0000-0200-000003000000}"/>
    <hyperlink ref="O3" r:id="rId5" xr:uid="{00000000-0004-0000-0200-000004000000}"/>
    <hyperlink ref="K3" r:id="rId6" xr:uid="{00000000-0004-0000-0200-000005000000}"/>
    <hyperlink ref="Q3" r:id="rId7" xr:uid="{0422A2F8-C292-6146-BC75-F9E2DBA37EFA}"/>
    <hyperlink ref="Q5" r:id="rId8" xr:uid="{5F3D890E-4DF4-AD43-8A45-8F15E14B529E}"/>
    <hyperlink ref="R5" r:id="rId9" xr:uid="{CEAB9154-E7AF-364A-92A8-07057BCC3BD2}"/>
    <hyperlink ref="Q4" r:id="rId10" xr:uid="{7A6C5785-84E4-3B49-838A-44BC002B1947}"/>
    <hyperlink ref="R4" r:id="rId11" xr:uid="{7C8175DA-4A51-AD4B-A57E-7AECF99CC84D}"/>
  </hyperlinks>
  <printOptions horizontalCentered="1"/>
  <pageMargins left="0.25" right="0.25" top="0.75" bottom="0.75" header="0.3" footer="0.3"/>
  <pageSetup scale="31" orientation="landscape" horizontalDpi="4294967292" verticalDpi="4294967292"/>
  <headerFooter>
    <oddHeader>&amp;C&amp;"Lucida Grande Bold,Bold"&amp;16&amp;K000000JMT 2018 Resupplies</oddHeader>
  </headerFooter>
  <legacy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29317-53A3-FF48-991D-1B6E00938D31}">
  <sheetPr>
    <pageSetUpPr fitToPage="1"/>
  </sheetPr>
  <dimension ref="A1:H83"/>
  <sheetViews>
    <sheetView workbookViewId="0">
      <pane ySplit="2" topLeftCell="A3" activePane="bottomLeft" state="frozen"/>
      <selection pane="bottomLeft" sqref="A1:F1"/>
    </sheetView>
  </sheetViews>
  <sheetFormatPr baseColWidth="10" defaultRowHeight="16" x14ac:dyDescent="0.2"/>
  <cols>
    <col min="1" max="1" width="21.83203125" bestFit="1" customWidth="1"/>
    <col min="2" max="2" width="72.1640625" bestFit="1" customWidth="1"/>
    <col min="3" max="3" width="10.5" bestFit="1" customWidth="1"/>
    <col min="4" max="4" width="9.1640625" bestFit="1" customWidth="1"/>
    <col min="5" max="5" width="11.33203125" bestFit="1" customWidth="1"/>
    <col min="6" max="6" width="9.33203125" bestFit="1" customWidth="1"/>
  </cols>
  <sheetData>
    <row r="1" spans="1:8" ht="73" customHeight="1" x14ac:dyDescent="0.2">
      <c r="A1" s="448" t="s">
        <v>743</v>
      </c>
      <c r="B1" s="448"/>
      <c r="C1" s="448"/>
      <c r="D1" s="448"/>
      <c r="E1" s="448"/>
      <c r="F1" s="448"/>
    </row>
    <row r="2" spans="1:8" x14ac:dyDescent="0.2">
      <c r="A2" t="s">
        <v>551</v>
      </c>
      <c r="B2" t="s">
        <v>375</v>
      </c>
      <c r="C2" s="229" t="s">
        <v>552</v>
      </c>
      <c r="D2" s="230" t="s">
        <v>553</v>
      </c>
      <c r="E2" s="230" t="s">
        <v>554</v>
      </c>
      <c r="F2" s="230" t="s">
        <v>196</v>
      </c>
    </row>
    <row r="3" spans="1:8" x14ac:dyDescent="0.2">
      <c r="A3" t="s">
        <v>563</v>
      </c>
      <c r="B3" t="s">
        <v>583</v>
      </c>
      <c r="C3" s="229">
        <v>1</v>
      </c>
      <c r="D3" s="230">
        <v>179.95</v>
      </c>
      <c r="E3" s="230"/>
      <c r="F3" s="230">
        <f t="shared" ref="F3:F33" si="0">(C3*D3)+E3</f>
        <v>179.95</v>
      </c>
    </row>
    <row r="4" spans="1:8" x14ac:dyDescent="0.2">
      <c r="A4" t="s">
        <v>563</v>
      </c>
      <c r="B4" t="s">
        <v>630</v>
      </c>
      <c r="C4" s="229">
        <v>1</v>
      </c>
      <c r="D4" s="230">
        <v>99</v>
      </c>
      <c r="E4" s="230">
        <v>4.33</v>
      </c>
      <c r="F4" s="230">
        <f t="shared" si="0"/>
        <v>103.33</v>
      </c>
    </row>
    <row r="5" spans="1:8" x14ac:dyDescent="0.2">
      <c r="A5" t="s">
        <v>563</v>
      </c>
      <c r="B5" t="s">
        <v>582</v>
      </c>
      <c r="C5" s="229">
        <v>1</v>
      </c>
      <c r="D5" s="230">
        <v>69.95</v>
      </c>
      <c r="E5" s="230"/>
      <c r="F5" s="230">
        <f t="shared" si="0"/>
        <v>69.95</v>
      </c>
    </row>
    <row r="6" spans="1:8" x14ac:dyDescent="0.2">
      <c r="A6" t="s">
        <v>555</v>
      </c>
      <c r="B6" t="s">
        <v>596</v>
      </c>
      <c r="C6" s="229">
        <v>2</v>
      </c>
      <c r="D6" s="230">
        <v>2</v>
      </c>
      <c r="E6" s="230"/>
      <c r="F6" s="230">
        <f t="shared" si="0"/>
        <v>4</v>
      </c>
    </row>
    <row r="7" spans="1:8" x14ac:dyDescent="0.2">
      <c r="A7" t="s">
        <v>555</v>
      </c>
      <c r="B7" t="s">
        <v>600</v>
      </c>
      <c r="C7" s="229">
        <v>2</v>
      </c>
      <c r="D7" s="230">
        <v>2</v>
      </c>
      <c r="E7" s="230"/>
      <c r="F7" s="230">
        <f t="shared" si="0"/>
        <v>4</v>
      </c>
    </row>
    <row r="8" spans="1:8" x14ac:dyDescent="0.2">
      <c r="A8" t="s">
        <v>555</v>
      </c>
      <c r="B8" t="s">
        <v>704</v>
      </c>
      <c r="C8" s="229">
        <v>1</v>
      </c>
      <c r="D8" s="230">
        <f>'Food Order'!G12</f>
        <v>67.949999999999989</v>
      </c>
      <c r="E8" s="230"/>
      <c r="F8" s="230">
        <f>(C8*D8)+E8</f>
        <v>67.949999999999989</v>
      </c>
      <c r="G8" s="348" t="s">
        <v>758</v>
      </c>
    </row>
    <row r="9" spans="1:8" x14ac:dyDescent="0.2">
      <c r="A9" t="s">
        <v>555</v>
      </c>
      <c r="B9" t="s">
        <v>581</v>
      </c>
      <c r="C9" s="229">
        <v>1</v>
      </c>
      <c r="D9" s="230">
        <f>'Food Order'!G21</f>
        <v>274.20999999999998</v>
      </c>
      <c r="E9" s="230"/>
      <c r="F9" s="230">
        <f t="shared" si="0"/>
        <v>274.20999999999998</v>
      </c>
      <c r="G9" s="231">
        <f>SUM(F9:F12)+F8+F18+(SUM(F13:F17))</f>
        <v>1616.3</v>
      </c>
      <c r="H9" s="231"/>
    </row>
    <row r="10" spans="1:8" x14ac:dyDescent="0.2">
      <c r="A10" t="s">
        <v>555</v>
      </c>
      <c r="B10" t="s">
        <v>574</v>
      </c>
      <c r="C10" s="229">
        <v>1</v>
      </c>
      <c r="D10" s="230">
        <f>'Food Order'!G47</f>
        <v>736.1</v>
      </c>
      <c r="E10" s="230"/>
      <c r="F10" s="230">
        <f t="shared" si="0"/>
        <v>736.1</v>
      </c>
    </row>
    <row r="11" spans="1:8" x14ac:dyDescent="0.2">
      <c r="A11" t="s">
        <v>555</v>
      </c>
      <c r="B11" t="s">
        <v>575</v>
      </c>
      <c r="C11" s="229">
        <v>1</v>
      </c>
      <c r="D11" s="230">
        <f>'Food Order'!G55</f>
        <v>327.39999999999998</v>
      </c>
      <c r="E11" s="230">
        <v>-49.11</v>
      </c>
      <c r="F11" s="230">
        <f t="shared" si="0"/>
        <v>278.28999999999996</v>
      </c>
    </row>
    <row r="12" spans="1:8" x14ac:dyDescent="0.2">
      <c r="A12" t="s">
        <v>555</v>
      </c>
      <c r="B12" t="s">
        <v>576</v>
      </c>
      <c r="C12" s="229">
        <v>1</v>
      </c>
      <c r="D12" s="230">
        <f>'Food Order'!G62</f>
        <v>178.5</v>
      </c>
      <c r="E12" s="230">
        <v>15</v>
      </c>
      <c r="F12" s="230">
        <f t="shared" si="0"/>
        <v>193.5</v>
      </c>
      <c r="G12" s="231"/>
    </row>
    <row r="13" spans="1:8" x14ac:dyDescent="0.2">
      <c r="A13" t="s">
        <v>555</v>
      </c>
      <c r="B13" t="s">
        <v>593</v>
      </c>
      <c r="C13" s="229">
        <v>4</v>
      </c>
      <c r="D13" s="230">
        <v>1.0900000000000001</v>
      </c>
      <c r="E13" s="230"/>
      <c r="F13" s="230">
        <f t="shared" si="0"/>
        <v>4.3600000000000003</v>
      </c>
    </row>
    <row r="14" spans="1:8" x14ac:dyDescent="0.2">
      <c r="A14" t="s">
        <v>555</v>
      </c>
      <c r="B14" t="s">
        <v>631</v>
      </c>
      <c r="C14" s="229">
        <v>1</v>
      </c>
      <c r="D14" s="230">
        <v>17.79</v>
      </c>
      <c r="E14" s="230"/>
      <c r="F14" s="230">
        <f t="shared" si="0"/>
        <v>17.79</v>
      </c>
    </row>
    <row r="15" spans="1:8" x14ac:dyDescent="0.2">
      <c r="A15" t="s">
        <v>555</v>
      </c>
      <c r="B15" t="s">
        <v>636</v>
      </c>
      <c r="C15" s="229">
        <v>2</v>
      </c>
      <c r="D15" s="230">
        <v>5.74</v>
      </c>
      <c r="E15" s="230"/>
      <c r="F15" s="230">
        <f t="shared" si="0"/>
        <v>11.48</v>
      </c>
    </row>
    <row r="16" spans="1:8" x14ac:dyDescent="0.2">
      <c r="A16" t="s">
        <v>555</v>
      </c>
      <c r="B16" t="s">
        <v>637</v>
      </c>
      <c r="C16" s="229">
        <v>1</v>
      </c>
      <c r="D16" s="230">
        <v>11.9</v>
      </c>
      <c r="E16" s="230"/>
      <c r="F16" s="230">
        <f t="shared" si="0"/>
        <v>11.9</v>
      </c>
    </row>
    <row r="17" spans="1:7" x14ac:dyDescent="0.2">
      <c r="A17" t="s">
        <v>555</v>
      </c>
      <c r="B17" t="s">
        <v>638</v>
      </c>
      <c r="C17" s="229">
        <v>2</v>
      </c>
      <c r="D17" s="230">
        <v>5.89</v>
      </c>
      <c r="E17" s="230"/>
      <c r="F17" s="230">
        <f t="shared" si="0"/>
        <v>11.78</v>
      </c>
      <c r="G17" s="231"/>
    </row>
    <row r="18" spans="1:7" x14ac:dyDescent="0.2">
      <c r="A18" t="s">
        <v>555</v>
      </c>
      <c r="B18" t="s">
        <v>740</v>
      </c>
      <c r="C18" s="229">
        <v>1</v>
      </c>
      <c r="D18" s="230">
        <f>'Food Order'!G58</f>
        <v>8.94</v>
      </c>
      <c r="E18" s="230"/>
      <c r="F18" s="230">
        <f t="shared" si="0"/>
        <v>8.94</v>
      </c>
    </row>
    <row r="19" spans="1:7" x14ac:dyDescent="0.2">
      <c r="A19" t="s">
        <v>562</v>
      </c>
      <c r="B19" t="s">
        <v>580</v>
      </c>
      <c r="C19" s="229">
        <v>1</v>
      </c>
      <c r="D19" s="230">
        <v>312</v>
      </c>
      <c r="E19" s="230">
        <v>12</v>
      </c>
      <c r="F19" s="230">
        <f t="shared" si="0"/>
        <v>324</v>
      </c>
      <c r="G19" s="231"/>
    </row>
    <row r="20" spans="1:7" x14ac:dyDescent="0.2">
      <c r="A20" t="s">
        <v>562</v>
      </c>
      <c r="B20" t="s">
        <v>609</v>
      </c>
      <c r="C20" s="229">
        <v>2</v>
      </c>
      <c r="D20" s="230">
        <v>5.8</v>
      </c>
      <c r="E20" s="230"/>
      <c r="F20" s="230">
        <f t="shared" si="0"/>
        <v>11.6</v>
      </c>
    </row>
    <row r="21" spans="1:7" x14ac:dyDescent="0.2">
      <c r="A21" t="s">
        <v>562</v>
      </c>
      <c r="B21" t="s">
        <v>577</v>
      </c>
      <c r="C21" s="229">
        <v>1</v>
      </c>
      <c r="D21" s="230">
        <v>28.95</v>
      </c>
      <c r="E21" s="230">
        <v>9</v>
      </c>
      <c r="F21" s="230">
        <f t="shared" si="0"/>
        <v>37.950000000000003</v>
      </c>
    </row>
    <row r="22" spans="1:7" x14ac:dyDescent="0.2">
      <c r="A22" t="s">
        <v>562</v>
      </c>
      <c r="B22" t="s">
        <v>589</v>
      </c>
      <c r="C22" s="229">
        <v>1</v>
      </c>
      <c r="D22" s="230">
        <v>9.99</v>
      </c>
      <c r="E22" s="230"/>
      <c r="F22" s="230">
        <f t="shared" si="0"/>
        <v>9.99</v>
      </c>
    </row>
    <row r="23" spans="1:7" x14ac:dyDescent="0.2">
      <c r="A23" t="s">
        <v>562</v>
      </c>
      <c r="B23" t="s">
        <v>586</v>
      </c>
      <c r="C23" s="229">
        <v>1</v>
      </c>
      <c r="D23" s="230">
        <v>11.49</v>
      </c>
      <c r="E23" s="230">
        <f>D23*0.0836</f>
        <v>0.96056399999999997</v>
      </c>
      <c r="F23" s="230">
        <f t="shared" si="0"/>
        <v>12.450564</v>
      </c>
    </row>
    <row r="24" spans="1:7" x14ac:dyDescent="0.2">
      <c r="A24" t="s">
        <v>562</v>
      </c>
      <c r="B24" t="s">
        <v>578</v>
      </c>
      <c r="C24" s="229">
        <v>1</v>
      </c>
      <c r="D24" s="230">
        <v>78.83</v>
      </c>
      <c r="E24" s="230"/>
      <c r="F24" s="230">
        <f t="shared" si="0"/>
        <v>78.83</v>
      </c>
    </row>
    <row r="25" spans="1:7" x14ac:dyDescent="0.2">
      <c r="A25" t="s">
        <v>562</v>
      </c>
      <c r="B25" t="s">
        <v>598</v>
      </c>
      <c r="C25" s="229">
        <v>1</v>
      </c>
      <c r="D25" s="230">
        <v>12.95</v>
      </c>
      <c r="E25" s="230"/>
      <c r="F25" s="230">
        <f t="shared" si="0"/>
        <v>12.95</v>
      </c>
    </row>
    <row r="26" spans="1:7" x14ac:dyDescent="0.2">
      <c r="A26" t="s">
        <v>562</v>
      </c>
      <c r="B26" t="s">
        <v>635</v>
      </c>
      <c r="C26" s="229">
        <v>2</v>
      </c>
      <c r="D26" s="230">
        <v>5.92</v>
      </c>
      <c r="E26" s="230">
        <v>1</v>
      </c>
      <c r="F26" s="230">
        <f t="shared" si="0"/>
        <v>12.84</v>
      </c>
    </row>
    <row r="27" spans="1:7" x14ac:dyDescent="0.2">
      <c r="A27" t="s">
        <v>562</v>
      </c>
      <c r="B27" t="s">
        <v>579</v>
      </c>
      <c r="C27" s="229">
        <v>1</v>
      </c>
      <c r="D27" s="230">
        <v>190</v>
      </c>
      <c r="E27" s="230"/>
      <c r="F27" s="230">
        <f t="shared" si="0"/>
        <v>190</v>
      </c>
    </row>
    <row r="28" spans="1:7" x14ac:dyDescent="0.2">
      <c r="A28" t="s">
        <v>562</v>
      </c>
      <c r="B28" t="s">
        <v>604</v>
      </c>
      <c r="C28" s="229">
        <v>1</v>
      </c>
      <c r="D28" s="230">
        <v>34.950000000000003</v>
      </c>
      <c r="E28" s="230"/>
      <c r="F28" s="230">
        <f t="shared" si="0"/>
        <v>34.950000000000003</v>
      </c>
    </row>
    <row r="29" spans="1:7" x14ac:dyDescent="0.2">
      <c r="A29" t="s">
        <v>562</v>
      </c>
      <c r="B29" t="s">
        <v>597</v>
      </c>
      <c r="C29" s="229">
        <v>1</v>
      </c>
      <c r="D29" s="230">
        <v>44.95</v>
      </c>
      <c r="E29" s="230"/>
      <c r="F29" s="230">
        <f t="shared" si="0"/>
        <v>44.95</v>
      </c>
    </row>
    <row r="30" spans="1:7" x14ac:dyDescent="0.2">
      <c r="A30" t="s">
        <v>562</v>
      </c>
      <c r="B30" t="s">
        <v>601</v>
      </c>
      <c r="C30" s="229">
        <v>1</v>
      </c>
      <c r="D30" s="230">
        <v>13.95</v>
      </c>
      <c r="E30" s="230"/>
      <c r="F30" s="230">
        <f t="shared" si="0"/>
        <v>13.95</v>
      </c>
    </row>
    <row r="31" spans="1:7" x14ac:dyDescent="0.2">
      <c r="A31" t="s">
        <v>562</v>
      </c>
      <c r="B31" t="s">
        <v>605</v>
      </c>
      <c r="C31" s="229">
        <v>1</v>
      </c>
      <c r="D31" s="230">
        <v>12.95</v>
      </c>
      <c r="E31" s="230"/>
      <c r="F31" s="230">
        <f t="shared" si="0"/>
        <v>12.95</v>
      </c>
    </row>
    <row r="32" spans="1:7" x14ac:dyDescent="0.2">
      <c r="A32" t="s">
        <v>562</v>
      </c>
      <c r="B32" t="s">
        <v>584</v>
      </c>
      <c r="C32" s="229">
        <v>1</v>
      </c>
      <c r="D32" s="230">
        <v>20</v>
      </c>
      <c r="E32" s="230"/>
      <c r="F32" s="230">
        <f t="shared" si="0"/>
        <v>20</v>
      </c>
    </row>
    <row r="33" spans="1:7" x14ac:dyDescent="0.2">
      <c r="A33" t="s">
        <v>562</v>
      </c>
      <c r="B33" t="s">
        <v>610</v>
      </c>
      <c r="C33" s="229">
        <v>1</v>
      </c>
      <c r="D33" s="230">
        <v>14.95</v>
      </c>
      <c r="E33" s="230"/>
      <c r="F33" s="230">
        <f t="shared" si="0"/>
        <v>14.95</v>
      </c>
    </row>
    <row r="34" spans="1:7" x14ac:dyDescent="0.2">
      <c r="A34" t="s">
        <v>562</v>
      </c>
      <c r="B34" t="s">
        <v>594</v>
      </c>
      <c r="C34" s="229">
        <v>1</v>
      </c>
      <c r="D34" s="230">
        <v>19.95</v>
      </c>
      <c r="E34" s="230"/>
      <c r="F34" s="230">
        <f t="shared" ref="F34:F68" si="1">(C34*D34)+E34</f>
        <v>19.95</v>
      </c>
    </row>
    <row r="35" spans="1:7" x14ac:dyDescent="0.2">
      <c r="A35" t="s">
        <v>628</v>
      </c>
      <c r="B35" t="s">
        <v>629</v>
      </c>
      <c r="C35" s="229">
        <v>1</v>
      </c>
      <c r="D35" s="230">
        <v>139.94999999999999</v>
      </c>
      <c r="E35" s="230">
        <v>11.72</v>
      </c>
      <c r="F35" s="230">
        <f t="shared" si="1"/>
        <v>151.66999999999999</v>
      </c>
    </row>
    <row r="36" spans="1:7" x14ac:dyDescent="0.2">
      <c r="A36" t="s">
        <v>558</v>
      </c>
      <c r="B36" t="s">
        <v>559</v>
      </c>
      <c r="C36" s="229">
        <v>1</v>
      </c>
      <c r="D36" s="230">
        <f>'Travel Itinerary &amp; Logistics'!K13</f>
        <v>2998.7999999999993</v>
      </c>
      <c r="E36" s="230"/>
      <c r="F36" s="230">
        <f t="shared" si="1"/>
        <v>2998.7999999999993</v>
      </c>
    </row>
    <row r="37" spans="1:7" x14ac:dyDescent="0.2">
      <c r="A37" t="s">
        <v>607</v>
      </c>
      <c r="B37" t="s">
        <v>569</v>
      </c>
      <c r="C37" s="229">
        <v>1</v>
      </c>
      <c r="D37" s="230">
        <v>12.99</v>
      </c>
      <c r="E37" s="230">
        <v>1.0900000000000001</v>
      </c>
      <c r="F37" s="230">
        <f t="shared" si="1"/>
        <v>14.08</v>
      </c>
    </row>
    <row r="38" spans="1:7" x14ac:dyDescent="0.2">
      <c r="A38" t="s">
        <v>607</v>
      </c>
      <c r="B38" t="s">
        <v>612</v>
      </c>
      <c r="C38" s="229">
        <v>1</v>
      </c>
      <c r="D38" s="230">
        <v>11.19</v>
      </c>
      <c r="E38" s="230">
        <v>0.94</v>
      </c>
      <c r="F38" s="230">
        <f t="shared" si="1"/>
        <v>12.129999999999999</v>
      </c>
    </row>
    <row r="39" spans="1:7" x14ac:dyDescent="0.2">
      <c r="A39" t="s">
        <v>567</v>
      </c>
      <c r="B39" t="s">
        <v>620</v>
      </c>
      <c r="C39" s="229">
        <v>1</v>
      </c>
      <c r="D39" s="230">
        <v>29.2</v>
      </c>
      <c r="E39" s="230"/>
      <c r="F39" s="230">
        <f t="shared" si="1"/>
        <v>29.2</v>
      </c>
    </row>
    <row r="40" spans="1:7" x14ac:dyDescent="0.2">
      <c r="A40" t="s">
        <v>567</v>
      </c>
      <c r="B40" t="s">
        <v>573</v>
      </c>
      <c r="C40" s="229"/>
      <c r="D40" s="230"/>
      <c r="E40" s="230"/>
      <c r="F40" s="230">
        <f t="shared" si="1"/>
        <v>0</v>
      </c>
    </row>
    <row r="41" spans="1:7" x14ac:dyDescent="0.2">
      <c r="A41" t="s">
        <v>567</v>
      </c>
      <c r="B41" t="s">
        <v>624</v>
      </c>
      <c r="C41" s="229">
        <v>1</v>
      </c>
      <c r="D41" s="230">
        <v>5.66</v>
      </c>
      <c r="E41" s="230">
        <f>D41*0.0659</f>
        <v>0.37299399999999999</v>
      </c>
      <c r="F41" s="230">
        <f t="shared" si="1"/>
        <v>6.0329940000000004</v>
      </c>
      <c r="G41" s="231"/>
    </row>
    <row r="42" spans="1:7" x14ac:dyDescent="0.2">
      <c r="A42" t="s">
        <v>567</v>
      </c>
      <c r="B42" t="s">
        <v>625</v>
      </c>
      <c r="C42" s="229">
        <v>1</v>
      </c>
      <c r="D42" s="230">
        <v>13.74</v>
      </c>
      <c r="E42" s="230"/>
      <c r="F42" s="230">
        <f t="shared" si="1"/>
        <v>13.74</v>
      </c>
      <c r="G42" s="231"/>
    </row>
    <row r="43" spans="1:7" x14ac:dyDescent="0.2">
      <c r="A43" t="s">
        <v>567</v>
      </c>
      <c r="B43" t="s">
        <v>568</v>
      </c>
      <c r="C43" s="229"/>
      <c r="D43" s="230"/>
      <c r="E43" s="230"/>
      <c r="F43" s="230">
        <f t="shared" si="1"/>
        <v>0</v>
      </c>
    </row>
    <row r="44" spans="1:7" x14ac:dyDescent="0.2">
      <c r="A44" t="s">
        <v>567</v>
      </c>
      <c r="B44" t="s">
        <v>622</v>
      </c>
      <c r="C44" s="229">
        <v>1</v>
      </c>
      <c r="D44" s="230">
        <v>7.29</v>
      </c>
      <c r="E44" s="230">
        <f>D44*0.0659</f>
        <v>0.48041099999999998</v>
      </c>
      <c r="F44" s="230">
        <f t="shared" si="1"/>
        <v>7.7704110000000002</v>
      </c>
    </row>
    <row r="45" spans="1:7" x14ac:dyDescent="0.2">
      <c r="A45" t="s">
        <v>567</v>
      </c>
      <c r="B45" t="s">
        <v>564</v>
      </c>
      <c r="C45" s="229">
        <v>1</v>
      </c>
      <c r="D45" s="230">
        <v>20</v>
      </c>
      <c r="E45" s="230"/>
      <c r="F45" s="230">
        <f t="shared" si="1"/>
        <v>20</v>
      </c>
    </row>
    <row r="46" spans="1:7" x14ac:dyDescent="0.2">
      <c r="A46" t="s">
        <v>567</v>
      </c>
      <c r="B46" t="s">
        <v>595</v>
      </c>
      <c r="C46" s="229">
        <v>4</v>
      </c>
      <c r="D46" s="230">
        <v>3.5</v>
      </c>
      <c r="E46" s="230"/>
      <c r="F46" s="230">
        <f t="shared" si="1"/>
        <v>14</v>
      </c>
    </row>
    <row r="47" spans="1:7" x14ac:dyDescent="0.2">
      <c r="A47" t="s">
        <v>567</v>
      </c>
      <c r="B47" t="s">
        <v>627</v>
      </c>
      <c r="C47" s="229">
        <v>1</v>
      </c>
      <c r="D47" s="230">
        <v>6.06</v>
      </c>
      <c r="E47" s="230"/>
      <c r="F47" s="230">
        <f t="shared" si="1"/>
        <v>6.06</v>
      </c>
      <c r="G47" s="231"/>
    </row>
    <row r="48" spans="1:7" x14ac:dyDescent="0.2">
      <c r="A48" t="s">
        <v>567</v>
      </c>
      <c r="B48" t="s">
        <v>632</v>
      </c>
      <c r="C48" s="229">
        <v>1</v>
      </c>
      <c r="D48" s="230">
        <v>8.99</v>
      </c>
      <c r="E48" s="230"/>
      <c r="F48" s="230">
        <f t="shared" si="1"/>
        <v>8.99</v>
      </c>
      <c r="G48" s="231"/>
    </row>
    <row r="49" spans="1:7" x14ac:dyDescent="0.2">
      <c r="A49" t="s">
        <v>567</v>
      </c>
      <c r="B49" t="s">
        <v>590</v>
      </c>
      <c r="C49" s="229">
        <v>4</v>
      </c>
      <c r="D49" s="230">
        <v>2.25</v>
      </c>
      <c r="E49" s="230"/>
      <c r="F49" s="230">
        <f t="shared" si="1"/>
        <v>9</v>
      </c>
    </row>
    <row r="50" spans="1:7" x14ac:dyDescent="0.2">
      <c r="A50" t="s">
        <v>567</v>
      </c>
      <c r="B50" t="s">
        <v>587</v>
      </c>
      <c r="C50" s="229">
        <v>1</v>
      </c>
      <c r="D50" s="230">
        <v>11.95</v>
      </c>
      <c r="E50" s="230">
        <f>D50*0.0836</f>
        <v>0.99901999999999991</v>
      </c>
      <c r="F50" s="230">
        <f t="shared" si="1"/>
        <v>12.949019999999999</v>
      </c>
    </row>
    <row r="51" spans="1:7" x14ac:dyDescent="0.2">
      <c r="A51" t="s">
        <v>567</v>
      </c>
      <c r="B51" t="s">
        <v>587</v>
      </c>
      <c r="C51" s="229">
        <v>1</v>
      </c>
      <c r="D51" s="230">
        <v>11.95</v>
      </c>
      <c r="E51" s="230">
        <v>1</v>
      </c>
      <c r="F51" s="230">
        <f t="shared" si="1"/>
        <v>12.95</v>
      </c>
    </row>
    <row r="52" spans="1:7" x14ac:dyDescent="0.2">
      <c r="A52" t="s">
        <v>567</v>
      </c>
      <c r="B52" t="s">
        <v>588</v>
      </c>
      <c r="C52" s="229">
        <v>4</v>
      </c>
      <c r="D52" s="230">
        <v>24.95</v>
      </c>
      <c r="E52" s="230">
        <v>-14.97</v>
      </c>
      <c r="F52" s="230">
        <f t="shared" si="1"/>
        <v>84.83</v>
      </c>
    </row>
    <row r="53" spans="1:7" x14ac:dyDescent="0.2">
      <c r="A53" t="s">
        <v>567</v>
      </c>
      <c r="B53" t="s">
        <v>623</v>
      </c>
      <c r="C53" s="229">
        <v>1</v>
      </c>
      <c r="D53" s="230">
        <v>13.59</v>
      </c>
      <c r="E53" s="230">
        <f>D53*0.0659</f>
        <v>0.89558099999999996</v>
      </c>
      <c r="F53" s="230">
        <f t="shared" si="1"/>
        <v>14.485581</v>
      </c>
    </row>
    <row r="54" spans="1:7" x14ac:dyDescent="0.2">
      <c r="A54" t="s">
        <v>567</v>
      </c>
      <c r="B54" t="s">
        <v>621</v>
      </c>
      <c r="C54" s="229">
        <v>1</v>
      </c>
      <c r="D54" s="230">
        <v>7.01</v>
      </c>
      <c r="E54" s="230"/>
      <c r="F54" s="230">
        <f t="shared" si="1"/>
        <v>7.01</v>
      </c>
    </row>
    <row r="55" spans="1:7" x14ac:dyDescent="0.2">
      <c r="A55" t="s">
        <v>567</v>
      </c>
      <c r="B55" t="s">
        <v>723</v>
      </c>
      <c r="C55" s="229">
        <v>1</v>
      </c>
      <c r="D55" s="230">
        <v>9.99</v>
      </c>
      <c r="E55" s="230">
        <f>-5+0.84</f>
        <v>-4.16</v>
      </c>
      <c r="F55" s="230">
        <f t="shared" si="1"/>
        <v>5.83</v>
      </c>
    </row>
    <row r="56" spans="1:7" x14ac:dyDescent="0.2">
      <c r="A56" t="s">
        <v>567</v>
      </c>
      <c r="B56" t="s">
        <v>626</v>
      </c>
      <c r="C56" s="229">
        <v>1</v>
      </c>
      <c r="D56" s="230">
        <v>7.58</v>
      </c>
      <c r="E56" s="230"/>
      <c r="F56" s="230">
        <f t="shared" si="1"/>
        <v>7.58</v>
      </c>
      <c r="G56" s="231"/>
    </row>
    <row r="57" spans="1:7" x14ac:dyDescent="0.2">
      <c r="A57" t="s">
        <v>618</v>
      </c>
      <c r="B57" t="s">
        <v>619</v>
      </c>
      <c r="C57" s="229">
        <v>1</v>
      </c>
      <c r="D57" s="230">
        <v>10.74</v>
      </c>
      <c r="E57" s="230"/>
      <c r="F57" s="230">
        <f t="shared" si="1"/>
        <v>10.74</v>
      </c>
    </row>
    <row r="58" spans="1:7" x14ac:dyDescent="0.2">
      <c r="A58" t="s">
        <v>560</v>
      </c>
      <c r="B58" t="s">
        <v>566</v>
      </c>
      <c r="C58" s="229">
        <v>5</v>
      </c>
      <c r="D58" s="230">
        <v>1.48</v>
      </c>
      <c r="E58" s="230">
        <f>(C58*D58)*0.06617</f>
        <v>0.48965800000000009</v>
      </c>
      <c r="F58" s="230">
        <f t="shared" si="1"/>
        <v>7.8896580000000007</v>
      </c>
    </row>
    <row r="59" spans="1:7" x14ac:dyDescent="0.2">
      <c r="A59" t="s">
        <v>560</v>
      </c>
      <c r="B59" t="s">
        <v>565</v>
      </c>
      <c r="C59" s="229">
        <v>4</v>
      </c>
      <c r="D59" s="230">
        <v>3.25</v>
      </c>
      <c r="E59" s="230">
        <f>(C59*D59)*0.06617</f>
        <v>0.86021000000000014</v>
      </c>
      <c r="F59" s="230">
        <f t="shared" si="1"/>
        <v>13.86021</v>
      </c>
      <c r="G59" s="231"/>
    </row>
    <row r="60" spans="1:7" x14ac:dyDescent="0.2">
      <c r="A60" t="s">
        <v>560</v>
      </c>
      <c r="B60" t="s">
        <v>561</v>
      </c>
      <c r="C60" s="229">
        <v>1</v>
      </c>
      <c r="D60" s="230">
        <f>Resupplies!M6</f>
        <v>489.74000000000007</v>
      </c>
      <c r="E60" s="230"/>
      <c r="F60" s="230">
        <f t="shared" si="1"/>
        <v>489.74000000000007</v>
      </c>
    </row>
    <row r="61" spans="1:7" x14ac:dyDescent="0.2">
      <c r="A61" t="s">
        <v>570</v>
      </c>
      <c r="B61" t="s">
        <v>572</v>
      </c>
      <c r="C61" s="229">
        <v>2</v>
      </c>
      <c r="D61" s="230">
        <v>29.95</v>
      </c>
      <c r="E61" s="230"/>
      <c r="F61" s="230">
        <f t="shared" si="1"/>
        <v>59.9</v>
      </c>
    </row>
    <row r="62" spans="1:7" x14ac:dyDescent="0.2">
      <c r="A62" t="s">
        <v>570</v>
      </c>
      <c r="B62" t="s">
        <v>571</v>
      </c>
      <c r="C62" s="229">
        <v>1</v>
      </c>
      <c r="D62" s="230">
        <v>199</v>
      </c>
      <c r="E62" s="230"/>
      <c r="F62" s="230">
        <f t="shared" si="1"/>
        <v>199</v>
      </c>
    </row>
    <row r="63" spans="1:7" x14ac:dyDescent="0.2">
      <c r="A63" t="s">
        <v>556</v>
      </c>
      <c r="B63" t="s">
        <v>670</v>
      </c>
      <c r="C63" s="229">
        <v>1</v>
      </c>
      <c r="D63" s="230">
        <v>7.88</v>
      </c>
      <c r="E63" s="230">
        <v>0.56000000000000005</v>
      </c>
      <c r="F63" s="230">
        <f t="shared" si="1"/>
        <v>8.44</v>
      </c>
    </row>
    <row r="64" spans="1:7" x14ac:dyDescent="0.2">
      <c r="A64" t="s">
        <v>556</v>
      </c>
      <c r="B64" t="s">
        <v>671</v>
      </c>
      <c r="C64" s="229">
        <v>1</v>
      </c>
      <c r="D64" s="230">
        <v>4.59</v>
      </c>
      <c r="E64" s="230">
        <v>0.56000000000000005</v>
      </c>
      <c r="F64" s="230">
        <f t="shared" si="1"/>
        <v>5.15</v>
      </c>
    </row>
    <row r="65" spans="1:6" x14ac:dyDescent="0.2">
      <c r="A65" t="s">
        <v>556</v>
      </c>
      <c r="B65" t="s">
        <v>669</v>
      </c>
      <c r="C65" s="229">
        <v>1</v>
      </c>
      <c r="D65" s="230">
        <v>5.79</v>
      </c>
      <c r="E65" s="230"/>
      <c r="F65" s="230">
        <f t="shared" si="1"/>
        <v>5.79</v>
      </c>
    </row>
    <row r="66" spans="1:6" x14ac:dyDescent="0.2">
      <c r="A66" t="s">
        <v>556</v>
      </c>
      <c r="B66" t="s">
        <v>668</v>
      </c>
      <c r="C66" s="229">
        <v>1</v>
      </c>
      <c r="D66" s="230">
        <v>5.79</v>
      </c>
      <c r="E66" s="230"/>
      <c r="F66" s="230">
        <f t="shared" si="1"/>
        <v>5.79</v>
      </c>
    </row>
    <row r="67" spans="1:6" x14ac:dyDescent="0.2">
      <c r="A67" t="s">
        <v>556</v>
      </c>
      <c r="B67" t="s">
        <v>709</v>
      </c>
      <c r="C67" s="229">
        <v>2</v>
      </c>
      <c r="D67" s="230">
        <v>5.79</v>
      </c>
      <c r="E67" s="230">
        <f>(C67*D67)*0.06625</f>
        <v>0.76717500000000005</v>
      </c>
      <c r="F67" s="230">
        <f t="shared" si="1"/>
        <v>12.347175</v>
      </c>
    </row>
    <row r="68" spans="1:6" x14ac:dyDescent="0.2">
      <c r="A68" t="s">
        <v>556</v>
      </c>
      <c r="B68" t="s">
        <v>557</v>
      </c>
      <c r="C68" s="229">
        <v>1</v>
      </c>
      <c r="D68" s="230">
        <v>3.5</v>
      </c>
      <c r="E68" s="230"/>
      <c r="F68" s="230">
        <f t="shared" si="1"/>
        <v>3.5</v>
      </c>
    </row>
    <row r="69" spans="1:6" x14ac:dyDescent="0.2">
      <c r="A69" t="s">
        <v>556</v>
      </c>
      <c r="B69" t="s">
        <v>672</v>
      </c>
      <c r="C69" s="229">
        <v>2</v>
      </c>
      <c r="D69" s="230">
        <v>16.989999999999998</v>
      </c>
      <c r="E69" s="230">
        <f>D69*0.06625</f>
        <v>1.1255875</v>
      </c>
      <c r="F69" s="230">
        <f t="shared" ref="F69:F75" si="2">(C69*D69)+E69</f>
        <v>35.105587499999999</v>
      </c>
    </row>
    <row r="70" spans="1:6" x14ac:dyDescent="0.2">
      <c r="A70" t="s">
        <v>556</v>
      </c>
      <c r="B70" t="s">
        <v>611</v>
      </c>
      <c r="C70" s="229">
        <v>2</v>
      </c>
      <c r="D70" s="230">
        <v>4.0199999999999996</v>
      </c>
      <c r="E70" s="230">
        <v>0.56000000000000005</v>
      </c>
      <c r="F70" s="230">
        <f t="shared" si="2"/>
        <v>8.6</v>
      </c>
    </row>
    <row r="71" spans="1:6" x14ac:dyDescent="0.2">
      <c r="A71" t="s">
        <v>556</v>
      </c>
      <c r="B71" t="s">
        <v>673</v>
      </c>
      <c r="C71" s="229">
        <v>1</v>
      </c>
      <c r="D71" s="230">
        <v>4.79</v>
      </c>
      <c r="E71" s="230">
        <f>D71*0.06625</f>
        <v>0.31733749999999999</v>
      </c>
      <c r="F71" s="230">
        <f t="shared" si="2"/>
        <v>5.1073374999999999</v>
      </c>
    </row>
    <row r="72" spans="1:6" x14ac:dyDescent="0.2">
      <c r="A72" t="s">
        <v>556</v>
      </c>
      <c r="B72" t="s">
        <v>585</v>
      </c>
      <c r="C72" s="229">
        <v>1</v>
      </c>
      <c r="D72" s="230">
        <v>9.94</v>
      </c>
      <c r="E72" s="230">
        <v>0.83</v>
      </c>
      <c r="F72" s="230">
        <f t="shared" si="2"/>
        <v>10.77</v>
      </c>
    </row>
    <row r="73" spans="1:6" x14ac:dyDescent="0.2">
      <c r="A73" t="s">
        <v>556</v>
      </c>
      <c r="B73" t="s">
        <v>703</v>
      </c>
      <c r="C73" s="229">
        <v>2</v>
      </c>
      <c r="D73" s="230">
        <v>2.99</v>
      </c>
      <c r="E73" s="230">
        <f>(C73*D73)*0.06625</f>
        <v>0.39617500000000005</v>
      </c>
      <c r="F73" s="230">
        <f>(C73*D73)+E73</f>
        <v>6.3761750000000008</v>
      </c>
    </row>
    <row r="74" spans="1:6" x14ac:dyDescent="0.2">
      <c r="A74" t="s">
        <v>602</v>
      </c>
      <c r="B74" t="s">
        <v>603</v>
      </c>
      <c r="C74" s="229">
        <v>1</v>
      </c>
      <c r="D74" s="230">
        <v>10</v>
      </c>
      <c r="E74" s="230"/>
      <c r="F74" s="230">
        <f t="shared" si="2"/>
        <v>10</v>
      </c>
    </row>
    <row r="75" spans="1:6" x14ac:dyDescent="0.2">
      <c r="A75" t="s">
        <v>602</v>
      </c>
      <c r="B75" t="s">
        <v>599</v>
      </c>
      <c r="C75" s="229">
        <v>1</v>
      </c>
      <c r="D75" s="230">
        <v>2.95</v>
      </c>
      <c r="E75" s="230"/>
      <c r="F75" s="230">
        <f t="shared" si="2"/>
        <v>2.95</v>
      </c>
    </row>
    <row r="76" spans="1:6" x14ac:dyDescent="0.2">
      <c r="C76" s="229"/>
      <c r="D76" s="230"/>
      <c r="E76" s="230"/>
      <c r="F76" s="234">
        <f>SUM(F3:F75)</f>
        <v>7168.0047129999966</v>
      </c>
    </row>
    <row r="79" spans="1:6" s="178" customFormat="1" ht="17" x14ac:dyDescent="0.2">
      <c r="A79" s="222" t="s">
        <v>542</v>
      </c>
      <c r="E79" s="224"/>
      <c r="F79" s="220"/>
    </row>
    <row r="80" spans="1:6" s="178" customFormat="1" ht="17" x14ac:dyDescent="0.2">
      <c r="A80" s="105" t="s">
        <v>591</v>
      </c>
      <c r="B80" s="178" t="s">
        <v>606</v>
      </c>
      <c r="C80" s="221">
        <v>-142.53</v>
      </c>
      <c r="E80" s="224"/>
      <c r="F80" s="220"/>
    </row>
    <row r="81" spans="1:6" s="178" customFormat="1" ht="17" x14ac:dyDescent="0.2">
      <c r="A81" s="104" t="s">
        <v>172</v>
      </c>
      <c r="B81" s="228">
        <f>C80</f>
        <v>-142.53</v>
      </c>
      <c r="C81" s="221"/>
      <c r="E81" s="224"/>
      <c r="F81" s="220"/>
    </row>
    <row r="83" spans="1:6" ht="19" x14ac:dyDescent="0.25">
      <c r="A83" s="233" t="s">
        <v>608</v>
      </c>
      <c r="B83" s="242">
        <f>F76+B81</f>
        <v>7025.4747129999969</v>
      </c>
    </row>
  </sheetData>
  <sortState ref="A3:F75">
    <sortCondition ref="A3:A75"/>
    <sortCondition ref="B3:B75"/>
  </sortState>
  <mergeCells count="1">
    <mergeCell ref="A1:F1"/>
  </mergeCells>
  <printOptions gridLines="1"/>
  <pageMargins left="0.25" right="0.25" top="1" bottom="0.75" header="0.3" footer="0.3"/>
  <pageSetup scale="71" fitToHeight="2" orientation="portrait" horizontalDpi="0" verticalDpi="0"/>
  <headerFooter>
    <oddHeader>&amp;C&amp;"Calibri Bold,Bold"&amp;14&amp;K000000JMT Trip 2018&amp;"Calibri,Regular"&amp;12
&amp;"Calibri Bold Italic,Bold Italic"Total Costs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596F-E257-7A4F-9828-0C6F1BE0681A}">
  <sheetPr>
    <pageSetUpPr fitToPage="1"/>
  </sheetPr>
  <dimension ref="A1:E194"/>
  <sheetViews>
    <sheetView zoomScaleNormal="100" workbookViewId="0">
      <selection sqref="A1:E1"/>
    </sheetView>
  </sheetViews>
  <sheetFormatPr baseColWidth="10" defaultRowHeight="16" x14ac:dyDescent="0.2"/>
  <cols>
    <col min="1" max="1" width="60.1640625" customWidth="1"/>
    <col min="2" max="2" width="10.83203125" style="197"/>
    <col min="3" max="3" width="56.1640625" style="194" bestFit="1" customWidth="1"/>
    <col min="5" max="5" width="59.33203125" bestFit="1" customWidth="1"/>
  </cols>
  <sheetData>
    <row r="1" spans="1:5" ht="32" customHeight="1" x14ac:dyDescent="0.2">
      <c r="A1" s="448" t="s">
        <v>744</v>
      </c>
      <c r="B1" s="449"/>
      <c r="C1" s="449"/>
      <c r="D1" s="449"/>
      <c r="E1" s="449"/>
    </row>
    <row r="2" spans="1:5" x14ac:dyDescent="0.2">
      <c r="A2" t="s">
        <v>227</v>
      </c>
      <c r="B2" s="197" t="s">
        <v>726</v>
      </c>
      <c r="C2" s="194" t="s">
        <v>727</v>
      </c>
    </row>
    <row r="3" spans="1:5" x14ac:dyDescent="0.2">
      <c r="A3" t="s">
        <v>639</v>
      </c>
      <c r="B3" s="197">
        <v>1</v>
      </c>
      <c r="C3" s="194" t="s">
        <v>640</v>
      </c>
    </row>
    <row r="4" spans="1:5" x14ac:dyDescent="0.2">
      <c r="A4" t="s">
        <v>639</v>
      </c>
      <c r="B4" s="197">
        <v>2</v>
      </c>
      <c r="C4" s="194" t="s">
        <v>642</v>
      </c>
      <c r="E4" s="194" t="s">
        <v>687</v>
      </c>
    </row>
    <row r="5" spans="1:5" x14ac:dyDescent="0.2">
      <c r="A5" t="s">
        <v>639</v>
      </c>
      <c r="B5" s="197">
        <v>3</v>
      </c>
      <c r="C5" s="194" t="s">
        <v>641</v>
      </c>
      <c r="E5" s="244">
        <v>1</v>
      </c>
    </row>
    <row r="6" spans="1:5" x14ac:dyDescent="0.2">
      <c r="A6" t="s">
        <v>485</v>
      </c>
      <c r="B6" s="197">
        <v>1</v>
      </c>
      <c r="C6" s="194" t="s">
        <v>640</v>
      </c>
      <c r="E6" s="195" t="s">
        <v>688</v>
      </c>
    </row>
    <row r="7" spans="1:5" x14ac:dyDescent="0.2">
      <c r="A7" t="s">
        <v>485</v>
      </c>
      <c r="B7" s="197">
        <v>2</v>
      </c>
      <c r="C7" s="194" t="s">
        <v>643</v>
      </c>
      <c r="E7" s="244">
        <v>2</v>
      </c>
    </row>
    <row r="8" spans="1:5" x14ac:dyDescent="0.2">
      <c r="A8" t="s">
        <v>485</v>
      </c>
      <c r="B8" s="197">
        <v>3</v>
      </c>
      <c r="C8" s="194" t="s">
        <v>641</v>
      </c>
      <c r="E8" s="195" t="s">
        <v>689</v>
      </c>
    </row>
    <row r="9" spans="1:5" x14ac:dyDescent="0.2">
      <c r="A9" t="s">
        <v>644</v>
      </c>
      <c r="B9" s="197">
        <v>1</v>
      </c>
      <c r="C9" s="194" t="s">
        <v>640</v>
      </c>
      <c r="E9" s="244">
        <v>3</v>
      </c>
    </row>
    <row r="10" spans="1:5" x14ac:dyDescent="0.2">
      <c r="A10" t="s">
        <v>644</v>
      </c>
      <c r="B10" s="197">
        <v>2</v>
      </c>
      <c r="C10" s="194" t="s">
        <v>645</v>
      </c>
      <c r="E10" s="195" t="s">
        <v>690</v>
      </c>
    </row>
    <row r="11" spans="1:5" x14ac:dyDescent="0.2">
      <c r="A11" t="s">
        <v>644</v>
      </c>
      <c r="B11" s="197">
        <v>3</v>
      </c>
      <c r="C11" s="194" t="s">
        <v>646</v>
      </c>
      <c r="E11" s="244">
        <v>4</v>
      </c>
    </row>
    <row r="12" spans="1:5" x14ac:dyDescent="0.2">
      <c r="A12" t="s">
        <v>644</v>
      </c>
      <c r="B12" s="197">
        <v>4</v>
      </c>
      <c r="C12" s="194" t="s">
        <v>647</v>
      </c>
      <c r="E12" s="195" t="s">
        <v>691</v>
      </c>
    </row>
    <row r="13" spans="1:5" x14ac:dyDescent="0.2">
      <c r="A13" t="s">
        <v>644</v>
      </c>
      <c r="B13" s="197">
        <v>5</v>
      </c>
      <c r="C13" s="194" t="s">
        <v>648</v>
      </c>
      <c r="E13" s="194" t="s">
        <v>674</v>
      </c>
    </row>
    <row r="14" spans="1:5" x14ac:dyDescent="0.2">
      <c r="A14" t="s">
        <v>491</v>
      </c>
      <c r="B14" s="197">
        <v>1</v>
      </c>
      <c r="C14" s="194" t="s">
        <v>649</v>
      </c>
      <c r="E14" s="244">
        <v>1</v>
      </c>
    </row>
    <row r="15" spans="1:5" x14ac:dyDescent="0.2">
      <c r="A15" t="s">
        <v>491</v>
      </c>
      <c r="B15" s="197">
        <v>2</v>
      </c>
      <c r="C15" s="194" t="s">
        <v>650</v>
      </c>
      <c r="E15" s="195" t="s">
        <v>640</v>
      </c>
    </row>
    <row r="16" spans="1:5" x14ac:dyDescent="0.2">
      <c r="A16" t="s">
        <v>491</v>
      </c>
      <c r="B16" s="197">
        <v>3</v>
      </c>
      <c r="C16" s="194" t="s">
        <v>651</v>
      </c>
      <c r="E16" s="244">
        <v>2</v>
      </c>
    </row>
    <row r="17" spans="1:5" x14ac:dyDescent="0.2">
      <c r="A17" t="s">
        <v>491</v>
      </c>
      <c r="B17" s="197">
        <v>4</v>
      </c>
      <c r="C17" s="194" t="s">
        <v>652</v>
      </c>
      <c r="E17" s="195" t="s">
        <v>230</v>
      </c>
    </row>
    <row r="18" spans="1:5" x14ac:dyDescent="0.2">
      <c r="A18" t="s">
        <v>492</v>
      </c>
      <c r="B18" s="197">
        <v>1</v>
      </c>
      <c r="C18" s="194" t="s">
        <v>640</v>
      </c>
      <c r="E18" s="244">
        <v>3</v>
      </c>
    </row>
    <row r="19" spans="1:5" x14ac:dyDescent="0.2">
      <c r="A19" t="s">
        <v>492</v>
      </c>
      <c r="B19" s="197">
        <v>2</v>
      </c>
      <c r="C19" s="194" t="s">
        <v>653</v>
      </c>
      <c r="E19" s="195" t="s">
        <v>656</v>
      </c>
    </row>
    <row r="20" spans="1:5" x14ac:dyDescent="0.2">
      <c r="A20" t="s">
        <v>492</v>
      </c>
      <c r="B20" s="197">
        <v>3</v>
      </c>
      <c r="C20" s="194" t="s">
        <v>654</v>
      </c>
      <c r="E20" s="244">
        <v>4</v>
      </c>
    </row>
    <row r="21" spans="1:5" x14ac:dyDescent="0.2">
      <c r="A21" t="s">
        <v>492</v>
      </c>
      <c r="B21" s="197">
        <v>4</v>
      </c>
      <c r="C21" s="194" t="s">
        <v>647</v>
      </c>
      <c r="E21" s="195" t="s">
        <v>228</v>
      </c>
    </row>
    <row r="22" spans="1:5" x14ac:dyDescent="0.2">
      <c r="A22" s="109" t="s">
        <v>439</v>
      </c>
      <c r="B22" s="197">
        <v>1</v>
      </c>
      <c r="C22" s="194" t="s">
        <v>640</v>
      </c>
      <c r="E22" s="194" t="s">
        <v>491</v>
      </c>
    </row>
    <row r="23" spans="1:5" x14ac:dyDescent="0.2">
      <c r="A23" s="109" t="s">
        <v>439</v>
      </c>
      <c r="B23" s="197">
        <v>2</v>
      </c>
      <c r="C23" s="194" t="s">
        <v>655</v>
      </c>
      <c r="E23" s="244">
        <v>1</v>
      </c>
    </row>
    <row r="24" spans="1:5" x14ac:dyDescent="0.2">
      <c r="A24" s="109" t="s">
        <v>439</v>
      </c>
      <c r="B24" s="197">
        <v>3</v>
      </c>
      <c r="C24" s="194" t="s">
        <v>656</v>
      </c>
      <c r="E24" s="195" t="s">
        <v>649</v>
      </c>
    </row>
    <row r="25" spans="1:5" x14ac:dyDescent="0.2">
      <c r="A25" s="109" t="s">
        <v>439</v>
      </c>
      <c r="B25" s="197">
        <v>4</v>
      </c>
      <c r="C25" s="194" t="s">
        <v>228</v>
      </c>
      <c r="E25" s="244">
        <v>2</v>
      </c>
    </row>
    <row r="26" spans="1:5" x14ac:dyDescent="0.2">
      <c r="A26" s="109" t="s">
        <v>442</v>
      </c>
      <c r="B26" s="197">
        <v>1</v>
      </c>
      <c r="C26" s="194" t="s">
        <v>640</v>
      </c>
      <c r="E26" s="195" t="s">
        <v>650</v>
      </c>
    </row>
    <row r="27" spans="1:5" x14ac:dyDescent="0.2">
      <c r="A27" s="109" t="s">
        <v>442</v>
      </c>
      <c r="B27" s="197">
        <v>2</v>
      </c>
      <c r="C27" s="194" t="s">
        <v>230</v>
      </c>
      <c r="E27" s="244">
        <v>3</v>
      </c>
    </row>
    <row r="28" spans="1:5" x14ac:dyDescent="0.2">
      <c r="A28" s="109" t="s">
        <v>442</v>
      </c>
      <c r="B28" s="197">
        <v>3</v>
      </c>
      <c r="C28" s="194" t="s">
        <v>656</v>
      </c>
      <c r="E28" s="195" t="s">
        <v>651</v>
      </c>
    </row>
    <row r="29" spans="1:5" x14ac:dyDescent="0.2">
      <c r="A29" s="109" t="s">
        <v>442</v>
      </c>
      <c r="B29" s="197">
        <v>4</v>
      </c>
      <c r="C29" s="194" t="s">
        <v>228</v>
      </c>
      <c r="E29" s="244">
        <v>4</v>
      </c>
    </row>
    <row r="30" spans="1:5" x14ac:dyDescent="0.2">
      <c r="A30" s="109" t="s">
        <v>336</v>
      </c>
      <c r="B30" s="197">
        <v>1</v>
      </c>
      <c r="C30" s="194" t="s">
        <v>640</v>
      </c>
      <c r="E30" s="195" t="s">
        <v>652</v>
      </c>
    </row>
    <row r="31" spans="1:5" x14ac:dyDescent="0.2">
      <c r="A31" s="109" t="s">
        <v>336</v>
      </c>
      <c r="B31" s="197">
        <v>2</v>
      </c>
      <c r="C31" s="194" t="s">
        <v>230</v>
      </c>
      <c r="E31" s="194" t="s">
        <v>492</v>
      </c>
    </row>
    <row r="32" spans="1:5" x14ac:dyDescent="0.2">
      <c r="A32" s="109" t="s">
        <v>336</v>
      </c>
      <c r="B32" s="197">
        <v>3</v>
      </c>
      <c r="C32" s="194" t="s">
        <v>654</v>
      </c>
      <c r="E32" s="244">
        <v>1</v>
      </c>
    </row>
    <row r="33" spans="1:5" x14ac:dyDescent="0.2">
      <c r="A33" s="109" t="s">
        <v>336</v>
      </c>
      <c r="B33" s="197">
        <v>4</v>
      </c>
      <c r="C33" s="194" t="s">
        <v>647</v>
      </c>
      <c r="E33" s="195" t="s">
        <v>640</v>
      </c>
    </row>
    <row r="34" spans="1:5" x14ac:dyDescent="0.2">
      <c r="A34" s="109" t="s">
        <v>294</v>
      </c>
      <c r="B34" s="197">
        <v>1</v>
      </c>
      <c r="C34" s="194" t="s">
        <v>640</v>
      </c>
      <c r="E34" s="244">
        <v>2</v>
      </c>
    </row>
    <row r="35" spans="1:5" x14ac:dyDescent="0.2">
      <c r="A35" s="109" t="s">
        <v>294</v>
      </c>
      <c r="B35" s="197">
        <v>2</v>
      </c>
      <c r="C35" s="194" t="s">
        <v>657</v>
      </c>
      <c r="E35" s="195" t="s">
        <v>653</v>
      </c>
    </row>
    <row r="36" spans="1:5" x14ac:dyDescent="0.2">
      <c r="A36" s="109" t="s">
        <v>294</v>
      </c>
      <c r="B36" s="197">
        <v>3</v>
      </c>
      <c r="C36" s="194" t="s">
        <v>654</v>
      </c>
      <c r="E36" s="244">
        <v>3</v>
      </c>
    </row>
    <row r="37" spans="1:5" x14ac:dyDescent="0.2">
      <c r="A37" s="109" t="s">
        <v>294</v>
      </c>
      <c r="B37" s="197">
        <v>4</v>
      </c>
      <c r="C37" s="194" t="s">
        <v>647</v>
      </c>
      <c r="E37" s="195" t="s">
        <v>654</v>
      </c>
    </row>
    <row r="38" spans="1:5" x14ac:dyDescent="0.2">
      <c r="A38" s="109" t="s">
        <v>486</v>
      </c>
      <c r="B38" s="197">
        <v>1</v>
      </c>
      <c r="C38" s="194" t="s">
        <v>640</v>
      </c>
      <c r="E38" s="244">
        <v>4</v>
      </c>
    </row>
    <row r="39" spans="1:5" x14ac:dyDescent="0.2">
      <c r="A39" s="109" t="s">
        <v>486</v>
      </c>
      <c r="B39" s="197">
        <v>2</v>
      </c>
      <c r="C39" s="194" t="s">
        <v>658</v>
      </c>
      <c r="E39" s="195" t="s">
        <v>647</v>
      </c>
    </row>
    <row r="40" spans="1:5" x14ac:dyDescent="0.2">
      <c r="A40" s="109" t="s">
        <v>486</v>
      </c>
      <c r="B40" s="197">
        <v>3</v>
      </c>
      <c r="C40" s="194" t="s">
        <v>230</v>
      </c>
      <c r="E40" s="194" t="s">
        <v>439</v>
      </c>
    </row>
    <row r="41" spans="1:5" x14ac:dyDescent="0.2">
      <c r="A41" s="109" t="s">
        <v>486</v>
      </c>
      <c r="B41" s="197">
        <v>4</v>
      </c>
      <c r="C41" s="194" t="s">
        <v>659</v>
      </c>
      <c r="E41" s="244">
        <v>1</v>
      </c>
    </row>
    <row r="42" spans="1:5" x14ac:dyDescent="0.2">
      <c r="A42" s="109" t="s">
        <v>486</v>
      </c>
      <c r="B42" s="197">
        <v>5</v>
      </c>
      <c r="C42" s="194" t="s">
        <v>228</v>
      </c>
      <c r="E42" s="195" t="s">
        <v>640</v>
      </c>
    </row>
    <row r="43" spans="1:5" x14ac:dyDescent="0.2">
      <c r="A43" s="109" t="s">
        <v>504</v>
      </c>
      <c r="B43" s="197">
        <v>1</v>
      </c>
      <c r="C43" s="194" t="s">
        <v>640</v>
      </c>
      <c r="E43" s="244">
        <v>2</v>
      </c>
    </row>
    <row r="44" spans="1:5" ht="17" x14ac:dyDescent="0.2">
      <c r="A44" s="109" t="s">
        <v>504</v>
      </c>
      <c r="B44" s="197">
        <v>2</v>
      </c>
      <c r="C44" s="194" t="s">
        <v>230</v>
      </c>
      <c r="E44" s="195" t="s">
        <v>655</v>
      </c>
    </row>
    <row r="45" spans="1:5" ht="17" x14ac:dyDescent="0.2">
      <c r="A45" s="109" t="s">
        <v>504</v>
      </c>
      <c r="B45" s="197">
        <v>3</v>
      </c>
      <c r="C45" s="194" t="s">
        <v>229</v>
      </c>
      <c r="E45" s="244">
        <v>3</v>
      </c>
    </row>
    <row r="46" spans="1:5" ht="17" x14ac:dyDescent="0.2">
      <c r="A46" s="109" t="s">
        <v>504</v>
      </c>
      <c r="B46" s="197">
        <v>4</v>
      </c>
      <c r="C46" s="194" t="s">
        <v>228</v>
      </c>
      <c r="E46" s="195" t="s">
        <v>656</v>
      </c>
    </row>
    <row r="47" spans="1:5" ht="17" x14ac:dyDescent="0.2">
      <c r="A47" s="109" t="s">
        <v>519</v>
      </c>
      <c r="B47" s="197">
        <v>1</v>
      </c>
      <c r="C47" s="194" t="s">
        <v>640</v>
      </c>
      <c r="E47" s="244">
        <v>4</v>
      </c>
    </row>
    <row r="48" spans="1:5" ht="17" x14ac:dyDescent="0.2">
      <c r="A48" s="109" t="s">
        <v>519</v>
      </c>
      <c r="B48" s="197">
        <v>2</v>
      </c>
      <c r="C48" s="194" t="s">
        <v>230</v>
      </c>
      <c r="E48" s="195" t="s">
        <v>228</v>
      </c>
    </row>
    <row r="49" spans="1:5" ht="17" x14ac:dyDescent="0.2">
      <c r="A49" s="109" t="s">
        <v>519</v>
      </c>
      <c r="B49" s="197">
        <v>3</v>
      </c>
      <c r="C49" s="194" t="s">
        <v>660</v>
      </c>
      <c r="E49" s="194" t="s">
        <v>336</v>
      </c>
    </row>
    <row r="50" spans="1:5" ht="17" x14ac:dyDescent="0.2">
      <c r="A50" s="109" t="s">
        <v>519</v>
      </c>
      <c r="B50" s="197">
        <v>4</v>
      </c>
      <c r="C50" s="194" t="s">
        <v>228</v>
      </c>
      <c r="E50" s="244">
        <v>1</v>
      </c>
    </row>
    <row r="51" spans="1:5" ht="17" x14ac:dyDescent="0.2">
      <c r="A51" s="109" t="s">
        <v>493</v>
      </c>
      <c r="B51" s="197">
        <v>1</v>
      </c>
      <c r="C51" s="194" t="s">
        <v>661</v>
      </c>
      <c r="E51" s="195" t="s">
        <v>640</v>
      </c>
    </row>
    <row r="52" spans="1:5" ht="17" x14ac:dyDescent="0.2">
      <c r="A52" s="109" t="s">
        <v>493</v>
      </c>
      <c r="B52" s="197">
        <v>2</v>
      </c>
      <c r="C52" s="194" t="s">
        <v>662</v>
      </c>
      <c r="E52" s="244">
        <v>2</v>
      </c>
    </row>
    <row r="53" spans="1:5" ht="17" x14ac:dyDescent="0.2">
      <c r="A53" s="109" t="s">
        <v>493</v>
      </c>
      <c r="B53" s="197">
        <v>3</v>
      </c>
      <c r="C53" s="194" t="s">
        <v>230</v>
      </c>
      <c r="E53" s="195" t="s">
        <v>230</v>
      </c>
    </row>
    <row r="54" spans="1:5" ht="17" x14ac:dyDescent="0.2">
      <c r="A54" s="109" t="s">
        <v>493</v>
      </c>
      <c r="B54" s="197">
        <v>4</v>
      </c>
      <c r="C54" s="194" t="s">
        <v>229</v>
      </c>
      <c r="E54" s="244">
        <v>3</v>
      </c>
    </row>
    <row r="55" spans="1:5" ht="17" x14ac:dyDescent="0.2">
      <c r="A55" s="109" t="s">
        <v>493</v>
      </c>
      <c r="B55" s="197">
        <v>5</v>
      </c>
      <c r="C55" s="194" t="s">
        <v>663</v>
      </c>
      <c r="E55" s="195" t="s">
        <v>654</v>
      </c>
    </row>
    <row r="56" spans="1:5" ht="17" x14ac:dyDescent="0.2">
      <c r="A56" s="109" t="s">
        <v>409</v>
      </c>
      <c r="B56" s="197">
        <v>1</v>
      </c>
      <c r="C56" s="194" t="s">
        <v>640</v>
      </c>
      <c r="E56" s="244">
        <v>4</v>
      </c>
    </row>
    <row r="57" spans="1:5" ht="17" x14ac:dyDescent="0.2">
      <c r="A57" s="109" t="s">
        <v>409</v>
      </c>
      <c r="B57" s="197">
        <v>2</v>
      </c>
      <c r="C57" s="194" t="s">
        <v>664</v>
      </c>
      <c r="E57" s="195" t="s">
        <v>647</v>
      </c>
    </row>
    <row r="58" spans="1:5" ht="17" x14ac:dyDescent="0.2">
      <c r="A58" s="109" t="s">
        <v>409</v>
      </c>
      <c r="B58" s="197">
        <v>3</v>
      </c>
      <c r="C58" s="194" t="s">
        <v>665</v>
      </c>
      <c r="E58" s="194" t="s">
        <v>697</v>
      </c>
    </row>
    <row r="59" spans="1:5" ht="17" x14ac:dyDescent="0.2">
      <c r="A59" s="109" t="s">
        <v>409</v>
      </c>
      <c r="B59" s="197">
        <v>4</v>
      </c>
      <c r="C59" s="194" t="s">
        <v>228</v>
      </c>
      <c r="E59" s="244">
        <v>1</v>
      </c>
    </row>
    <row r="60" spans="1:5" ht="17" x14ac:dyDescent="0.2">
      <c r="A60" s="109" t="s">
        <v>674</v>
      </c>
      <c r="B60" s="197">
        <v>1</v>
      </c>
      <c r="C60" s="194" t="s">
        <v>640</v>
      </c>
      <c r="E60" s="195" t="s">
        <v>698</v>
      </c>
    </row>
    <row r="61" spans="1:5" ht="17" x14ac:dyDescent="0.2">
      <c r="A61" s="109" t="s">
        <v>674</v>
      </c>
      <c r="B61" s="197">
        <v>2</v>
      </c>
      <c r="C61" s="194" t="s">
        <v>230</v>
      </c>
      <c r="E61" s="244">
        <v>2</v>
      </c>
    </row>
    <row r="62" spans="1:5" ht="17" x14ac:dyDescent="0.2">
      <c r="A62" s="109" t="s">
        <v>674</v>
      </c>
      <c r="B62" s="197">
        <v>3</v>
      </c>
      <c r="C62" s="194" t="s">
        <v>656</v>
      </c>
      <c r="E62" s="195" t="s">
        <v>699</v>
      </c>
    </row>
    <row r="63" spans="1:5" ht="17" x14ac:dyDescent="0.2">
      <c r="A63" s="109" t="s">
        <v>674</v>
      </c>
      <c r="B63" s="197">
        <v>4</v>
      </c>
      <c r="C63" s="194" t="s">
        <v>228</v>
      </c>
      <c r="E63" s="244">
        <v>3</v>
      </c>
    </row>
    <row r="64" spans="1:5" ht="17" x14ac:dyDescent="0.2">
      <c r="A64" s="109" t="s">
        <v>679</v>
      </c>
      <c r="B64" s="197">
        <v>1</v>
      </c>
      <c r="C64" s="194" t="s">
        <v>640</v>
      </c>
      <c r="E64" s="195" t="s">
        <v>695</v>
      </c>
    </row>
    <row r="65" spans="1:5" ht="17" x14ac:dyDescent="0.2">
      <c r="A65" s="109" t="s">
        <v>679</v>
      </c>
      <c r="B65" s="197">
        <v>2</v>
      </c>
      <c r="C65" s="194" t="s">
        <v>680</v>
      </c>
      <c r="E65" s="244">
        <v>4</v>
      </c>
    </row>
    <row r="66" spans="1:5" ht="17" x14ac:dyDescent="0.2">
      <c r="A66" s="109" t="s">
        <v>679</v>
      </c>
      <c r="B66" s="197">
        <v>3</v>
      </c>
      <c r="C66" s="194" t="s">
        <v>681</v>
      </c>
      <c r="E66" s="195" t="s">
        <v>700</v>
      </c>
    </row>
    <row r="67" spans="1:5" ht="17" x14ac:dyDescent="0.2">
      <c r="A67" s="109" t="s">
        <v>679</v>
      </c>
      <c r="B67" s="197">
        <v>4</v>
      </c>
      <c r="C67" s="194" t="s">
        <v>228</v>
      </c>
      <c r="E67" s="194" t="s">
        <v>692</v>
      </c>
    </row>
    <row r="68" spans="1:5" ht="17" x14ac:dyDescent="0.2">
      <c r="A68" s="109" t="s">
        <v>682</v>
      </c>
      <c r="B68" s="197">
        <v>1</v>
      </c>
      <c r="C68" s="194" t="s">
        <v>640</v>
      </c>
      <c r="E68" s="244">
        <v>1</v>
      </c>
    </row>
    <row r="69" spans="1:5" ht="17" x14ac:dyDescent="0.2">
      <c r="A69" s="109" t="s">
        <v>682</v>
      </c>
      <c r="B69" s="197">
        <v>2</v>
      </c>
      <c r="C69" s="194" t="s">
        <v>230</v>
      </c>
      <c r="E69" s="195" t="s">
        <v>693</v>
      </c>
    </row>
    <row r="70" spans="1:5" ht="17" x14ac:dyDescent="0.2">
      <c r="A70" s="109" t="s">
        <v>682</v>
      </c>
      <c r="B70" s="197">
        <v>3</v>
      </c>
      <c r="C70" s="194" t="s">
        <v>656</v>
      </c>
      <c r="E70" s="244">
        <v>2</v>
      </c>
    </row>
    <row r="71" spans="1:5" ht="17" x14ac:dyDescent="0.2">
      <c r="A71" s="109" t="s">
        <v>682</v>
      </c>
      <c r="B71" s="197">
        <v>4</v>
      </c>
      <c r="C71" s="194" t="s">
        <v>228</v>
      </c>
      <c r="E71" s="195" t="s">
        <v>694</v>
      </c>
    </row>
    <row r="72" spans="1:5" ht="17" x14ac:dyDescent="0.2">
      <c r="A72" s="109" t="s">
        <v>449</v>
      </c>
      <c r="B72" s="197">
        <v>1</v>
      </c>
      <c r="C72" s="194" t="s">
        <v>640</v>
      </c>
      <c r="E72" s="244">
        <v>3</v>
      </c>
    </row>
    <row r="73" spans="1:5" ht="17" x14ac:dyDescent="0.2">
      <c r="A73" s="109" t="s">
        <v>449</v>
      </c>
      <c r="B73" s="197">
        <v>2</v>
      </c>
      <c r="C73" s="194" t="s">
        <v>680</v>
      </c>
      <c r="E73" s="195" t="s">
        <v>695</v>
      </c>
    </row>
    <row r="74" spans="1:5" ht="17" x14ac:dyDescent="0.2">
      <c r="A74" s="109" t="s">
        <v>449</v>
      </c>
      <c r="B74" s="197">
        <v>3</v>
      </c>
      <c r="C74" s="194" t="s">
        <v>683</v>
      </c>
      <c r="E74" s="244">
        <v>4</v>
      </c>
    </row>
    <row r="75" spans="1:5" ht="17" x14ac:dyDescent="0.2">
      <c r="A75" s="109" t="s">
        <v>449</v>
      </c>
      <c r="B75" s="197">
        <v>4</v>
      </c>
      <c r="C75" s="194" t="s">
        <v>228</v>
      </c>
      <c r="E75" s="195" t="s">
        <v>696</v>
      </c>
    </row>
    <row r="76" spans="1:5" ht="17" x14ac:dyDescent="0.2">
      <c r="A76" s="109" t="s">
        <v>687</v>
      </c>
      <c r="B76" s="197">
        <v>1</v>
      </c>
      <c r="C76" s="194" t="s">
        <v>688</v>
      </c>
      <c r="E76" s="194" t="s">
        <v>486</v>
      </c>
    </row>
    <row r="77" spans="1:5" ht="17" x14ac:dyDescent="0.2">
      <c r="A77" s="109" t="s">
        <v>687</v>
      </c>
      <c r="B77" s="197">
        <v>2</v>
      </c>
      <c r="C77" s="194" t="s">
        <v>689</v>
      </c>
      <c r="E77" s="244">
        <v>1</v>
      </c>
    </row>
    <row r="78" spans="1:5" ht="17" x14ac:dyDescent="0.2">
      <c r="A78" s="109" t="s">
        <v>687</v>
      </c>
      <c r="B78" s="197">
        <v>3</v>
      </c>
      <c r="C78" s="194" t="s">
        <v>690</v>
      </c>
      <c r="E78" s="195" t="s">
        <v>640</v>
      </c>
    </row>
    <row r="79" spans="1:5" ht="17" x14ac:dyDescent="0.2">
      <c r="A79" s="109" t="s">
        <v>687</v>
      </c>
      <c r="B79" s="197">
        <v>4</v>
      </c>
      <c r="C79" s="194" t="s">
        <v>691</v>
      </c>
      <c r="E79" s="244">
        <v>2</v>
      </c>
    </row>
    <row r="80" spans="1:5" ht="17" x14ac:dyDescent="0.2">
      <c r="A80" s="109" t="s">
        <v>692</v>
      </c>
      <c r="B80" s="197">
        <v>1</v>
      </c>
      <c r="C80" s="194" t="s">
        <v>693</v>
      </c>
      <c r="E80" s="195" t="s">
        <v>658</v>
      </c>
    </row>
    <row r="81" spans="1:5" ht="17" x14ac:dyDescent="0.2">
      <c r="A81" s="109" t="s">
        <v>692</v>
      </c>
      <c r="B81" s="197">
        <v>2</v>
      </c>
      <c r="C81" s="194" t="s">
        <v>694</v>
      </c>
      <c r="E81" s="244">
        <v>3</v>
      </c>
    </row>
    <row r="82" spans="1:5" ht="17" x14ac:dyDescent="0.2">
      <c r="A82" s="109" t="s">
        <v>692</v>
      </c>
      <c r="B82" s="197">
        <v>3</v>
      </c>
      <c r="C82" s="194" t="s">
        <v>695</v>
      </c>
      <c r="E82" s="195" t="s">
        <v>230</v>
      </c>
    </row>
    <row r="83" spans="1:5" ht="17" x14ac:dyDescent="0.2">
      <c r="A83" s="109" t="s">
        <v>692</v>
      </c>
      <c r="B83" s="197">
        <v>4</v>
      </c>
      <c r="C83" s="194" t="s">
        <v>696</v>
      </c>
      <c r="E83" s="244">
        <v>4</v>
      </c>
    </row>
    <row r="84" spans="1:5" ht="17" x14ac:dyDescent="0.2">
      <c r="A84" s="109" t="s">
        <v>697</v>
      </c>
      <c r="B84" s="197">
        <v>1</v>
      </c>
      <c r="C84" s="194" t="s">
        <v>698</v>
      </c>
      <c r="E84" s="195" t="s">
        <v>659</v>
      </c>
    </row>
    <row r="85" spans="1:5" ht="17" x14ac:dyDescent="0.2">
      <c r="A85" s="109" t="s">
        <v>697</v>
      </c>
      <c r="B85" s="197">
        <v>2</v>
      </c>
      <c r="C85" s="194" t="s">
        <v>699</v>
      </c>
      <c r="E85" s="244">
        <v>5</v>
      </c>
    </row>
    <row r="86" spans="1:5" ht="17" x14ac:dyDescent="0.2">
      <c r="A86" s="109" t="s">
        <v>697</v>
      </c>
      <c r="B86" s="197">
        <v>3</v>
      </c>
      <c r="C86" s="194" t="s">
        <v>695</v>
      </c>
      <c r="E86" s="195" t="s">
        <v>228</v>
      </c>
    </row>
    <row r="87" spans="1:5" ht="17" x14ac:dyDescent="0.2">
      <c r="A87" s="109" t="s">
        <v>697</v>
      </c>
      <c r="B87" s="197">
        <v>4</v>
      </c>
      <c r="C87" s="194" t="s">
        <v>700</v>
      </c>
      <c r="E87" s="194" t="s">
        <v>519</v>
      </c>
    </row>
    <row r="88" spans="1:5" x14ac:dyDescent="0.2">
      <c r="E88" s="244">
        <v>1</v>
      </c>
    </row>
    <row r="89" spans="1:5" ht="17" x14ac:dyDescent="0.2">
      <c r="A89" s="109" t="s">
        <v>676</v>
      </c>
      <c r="E89" s="195" t="s">
        <v>640</v>
      </c>
    </row>
    <row r="90" spans="1:5" ht="17" x14ac:dyDescent="0.2">
      <c r="A90" s="109" t="s">
        <v>677</v>
      </c>
      <c r="E90" s="244">
        <v>2</v>
      </c>
    </row>
    <row r="91" spans="1:5" ht="17" x14ac:dyDescent="0.2">
      <c r="A91" s="109" t="s">
        <v>678</v>
      </c>
      <c r="E91" s="195" t="s">
        <v>230</v>
      </c>
    </row>
    <row r="92" spans="1:5" x14ac:dyDescent="0.2">
      <c r="A92" t="s">
        <v>675</v>
      </c>
      <c r="E92" s="244">
        <v>3</v>
      </c>
    </row>
    <row r="93" spans="1:5" x14ac:dyDescent="0.2">
      <c r="A93" t="s">
        <v>706</v>
      </c>
      <c r="E93" s="195" t="s">
        <v>660</v>
      </c>
    </row>
    <row r="94" spans="1:5" x14ac:dyDescent="0.2">
      <c r="E94" s="244">
        <v>4</v>
      </c>
    </row>
    <row r="95" spans="1:5" x14ac:dyDescent="0.2">
      <c r="E95" s="195" t="s">
        <v>228</v>
      </c>
    </row>
    <row r="96" spans="1:5" x14ac:dyDescent="0.2">
      <c r="E96" s="194" t="s">
        <v>639</v>
      </c>
    </row>
    <row r="97" spans="5:5" x14ac:dyDescent="0.2">
      <c r="E97" s="244">
        <v>1</v>
      </c>
    </row>
    <row r="98" spans="5:5" x14ac:dyDescent="0.2">
      <c r="E98" s="195" t="s">
        <v>640</v>
      </c>
    </row>
    <row r="99" spans="5:5" x14ac:dyDescent="0.2">
      <c r="E99" s="244">
        <v>2</v>
      </c>
    </row>
    <row r="100" spans="5:5" x14ac:dyDescent="0.2">
      <c r="E100" s="195" t="s">
        <v>642</v>
      </c>
    </row>
    <row r="101" spans="5:5" x14ac:dyDescent="0.2">
      <c r="E101" s="244">
        <v>3</v>
      </c>
    </row>
    <row r="102" spans="5:5" x14ac:dyDescent="0.2">
      <c r="E102" s="195" t="s">
        <v>641</v>
      </c>
    </row>
    <row r="103" spans="5:5" x14ac:dyDescent="0.2">
      <c r="E103" s="194" t="s">
        <v>485</v>
      </c>
    </row>
    <row r="104" spans="5:5" x14ac:dyDescent="0.2">
      <c r="E104" s="244">
        <v>1</v>
      </c>
    </row>
    <row r="105" spans="5:5" x14ac:dyDescent="0.2">
      <c r="E105" s="195" t="s">
        <v>640</v>
      </c>
    </row>
    <row r="106" spans="5:5" x14ac:dyDescent="0.2">
      <c r="E106" s="244">
        <v>2</v>
      </c>
    </row>
    <row r="107" spans="5:5" x14ac:dyDescent="0.2">
      <c r="E107" s="195" t="s">
        <v>643</v>
      </c>
    </row>
    <row r="108" spans="5:5" x14ac:dyDescent="0.2">
      <c r="E108" s="244">
        <v>3</v>
      </c>
    </row>
    <row r="109" spans="5:5" x14ac:dyDescent="0.2">
      <c r="E109" s="195" t="s">
        <v>641</v>
      </c>
    </row>
    <row r="110" spans="5:5" x14ac:dyDescent="0.2">
      <c r="E110" s="194" t="s">
        <v>679</v>
      </c>
    </row>
    <row r="111" spans="5:5" x14ac:dyDescent="0.2">
      <c r="E111" s="244">
        <v>1</v>
      </c>
    </row>
    <row r="112" spans="5:5" x14ac:dyDescent="0.2">
      <c r="E112" s="195" t="s">
        <v>640</v>
      </c>
    </row>
    <row r="113" spans="5:5" x14ac:dyDescent="0.2">
      <c r="E113" s="244">
        <v>2</v>
      </c>
    </row>
    <row r="114" spans="5:5" x14ac:dyDescent="0.2">
      <c r="E114" s="195" t="s">
        <v>680</v>
      </c>
    </row>
    <row r="115" spans="5:5" x14ac:dyDescent="0.2">
      <c r="E115" s="244">
        <v>3</v>
      </c>
    </row>
    <row r="116" spans="5:5" x14ac:dyDescent="0.2">
      <c r="E116" s="195" t="s">
        <v>681</v>
      </c>
    </row>
    <row r="117" spans="5:5" x14ac:dyDescent="0.2">
      <c r="E117" s="244">
        <v>4</v>
      </c>
    </row>
    <row r="118" spans="5:5" x14ac:dyDescent="0.2">
      <c r="E118" s="195" t="s">
        <v>228</v>
      </c>
    </row>
    <row r="119" spans="5:5" x14ac:dyDescent="0.2">
      <c r="E119" s="194" t="s">
        <v>442</v>
      </c>
    </row>
    <row r="120" spans="5:5" x14ac:dyDescent="0.2">
      <c r="E120" s="244">
        <v>1</v>
      </c>
    </row>
    <row r="121" spans="5:5" x14ac:dyDescent="0.2">
      <c r="E121" s="195" t="s">
        <v>640</v>
      </c>
    </row>
    <row r="122" spans="5:5" x14ac:dyDescent="0.2">
      <c r="E122" s="244">
        <v>2</v>
      </c>
    </row>
    <row r="123" spans="5:5" x14ac:dyDescent="0.2">
      <c r="E123" s="195" t="s">
        <v>230</v>
      </c>
    </row>
    <row r="124" spans="5:5" x14ac:dyDescent="0.2">
      <c r="E124" s="244">
        <v>3</v>
      </c>
    </row>
    <row r="125" spans="5:5" x14ac:dyDescent="0.2">
      <c r="E125" s="195" t="s">
        <v>656</v>
      </c>
    </row>
    <row r="126" spans="5:5" x14ac:dyDescent="0.2">
      <c r="E126" s="244">
        <v>4</v>
      </c>
    </row>
    <row r="127" spans="5:5" x14ac:dyDescent="0.2">
      <c r="E127" s="195" t="s">
        <v>228</v>
      </c>
    </row>
    <row r="128" spans="5:5" x14ac:dyDescent="0.2">
      <c r="E128" s="194" t="s">
        <v>294</v>
      </c>
    </row>
    <row r="129" spans="5:5" x14ac:dyDescent="0.2">
      <c r="E129" s="244">
        <v>1</v>
      </c>
    </row>
    <row r="130" spans="5:5" x14ac:dyDescent="0.2">
      <c r="E130" s="195" t="s">
        <v>640</v>
      </c>
    </row>
    <row r="131" spans="5:5" x14ac:dyDescent="0.2">
      <c r="E131" s="244">
        <v>2</v>
      </c>
    </row>
    <row r="132" spans="5:5" x14ac:dyDescent="0.2">
      <c r="E132" s="195" t="s">
        <v>657</v>
      </c>
    </row>
    <row r="133" spans="5:5" x14ac:dyDescent="0.2">
      <c r="E133" s="244">
        <v>3</v>
      </c>
    </row>
    <row r="134" spans="5:5" x14ac:dyDescent="0.2">
      <c r="E134" s="195" t="s">
        <v>654</v>
      </c>
    </row>
    <row r="135" spans="5:5" x14ac:dyDescent="0.2">
      <c r="E135" s="244">
        <v>4</v>
      </c>
    </row>
    <row r="136" spans="5:5" x14ac:dyDescent="0.2">
      <c r="E136" s="195" t="s">
        <v>647</v>
      </c>
    </row>
    <row r="137" spans="5:5" x14ac:dyDescent="0.2">
      <c r="E137" s="194" t="s">
        <v>409</v>
      </c>
    </row>
    <row r="138" spans="5:5" x14ac:dyDescent="0.2">
      <c r="E138" s="244">
        <v>1</v>
      </c>
    </row>
    <row r="139" spans="5:5" x14ac:dyDescent="0.2">
      <c r="E139" s="195" t="s">
        <v>640</v>
      </c>
    </row>
    <row r="140" spans="5:5" x14ac:dyDescent="0.2">
      <c r="E140" s="244">
        <v>2</v>
      </c>
    </row>
    <row r="141" spans="5:5" x14ac:dyDescent="0.2">
      <c r="E141" s="195" t="s">
        <v>664</v>
      </c>
    </row>
    <row r="142" spans="5:5" x14ac:dyDescent="0.2">
      <c r="E142" s="244">
        <v>3</v>
      </c>
    </row>
    <row r="143" spans="5:5" x14ac:dyDescent="0.2">
      <c r="E143" s="195" t="s">
        <v>665</v>
      </c>
    </row>
    <row r="144" spans="5:5" x14ac:dyDescent="0.2">
      <c r="E144" s="244">
        <v>4</v>
      </c>
    </row>
    <row r="145" spans="5:5" x14ac:dyDescent="0.2">
      <c r="E145" s="195" t="s">
        <v>228</v>
      </c>
    </row>
    <row r="146" spans="5:5" x14ac:dyDescent="0.2">
      <c r="E146" s="194" t="s">
        <v>682</v>
      </c>
    </row>
    <row r="147" spans="5:5" x14ac:dyDescent="0.2">
      <c r="E147" s="244">
        <v>1</v>
      </c>
    </row>
    <row r="148" spans="5:5" x14ac:dyDescent="0.2">
      <c r="E148" s="195" t="s">
        <v>640</v>
      </c>
    </row>
    <row r="149" spans="5:5" x14ac:dyDescent="0.2">
      <c r="E149" s="244">
        <v>2</v>
      </c>
    </row>
    <row r="150" spans="5:5" x14ac:dyDescent="0.2">
      <c r="E150" s="195" t="s">
        <v>230</v>
      </c>
    </row>
    <row r="151" spans="5:5" x14ac:dyDescent="0.2">
      <c r="E151" s="244">
        <v>3</v>
      </c>
    </row>
    <row r="152" spans="5:5" x14ac:dyDescent="0.2">
      <c r="E152" s="195" t="s">
        <v>656</v>
      </c>
    </row>
    <row r="153" spans="5:5" x14ac:dyDescent="0.2">
      <c r="E153" s="244">
        <v>4</v>
      </c>
    </row>
    <row r="154" spans="5:5" x14ac:dyDescent="0.2">
      <c r="E154" s="195" t="s">
        <v>228</v>
      </c>
    </row>
    <row r="155" spans="5:5" x14ac:dyDescent="0.2">
      <c r="E155" s="194" t="s">
        <v>493</v>
      </c>
    </row>
    <row r="156" spans="5:5" x14ac:dyDescent="0.2">
      <c r="E156" s="244">
        <v>1</v>
      </c>
    </row>
    <row r="157" spans="5:5" x14ac:dyDescent="0.2">
      <c r="E157" s="195" t="s">
        <v>661</v>
      </c>
    </row>
    <row r="158" spans="5:5" x14ac:dyDescent="0.2">
      <c r="E158" s="244">
        <v>2</v>
      </c>
    </row>
    <row r="159" spans="5:5" x14ac:dyDescent="0.2">
      <c r="E159" s="195" t="s">
        <v>662</v>
      </c>
    </row>
    <row r="160" spans="5:5" x14ac:dyDescent="0.2">
      <c r="E160" s="244">
        <v>3</v>
      </c>
    </row>
    <row r="161" spans="5:5" x14ac:dyDescent="0.2">
      <c r="E161" s="195" t="s">
        <v>230</v>
      </c>
    </row>
    <row r="162" spans="5:5" x14ac:dyDescent="0.2">
      <c r="E162" s="244">
        <v>4</v>
      </c>
    </row>
    <row r="163" spans="5:5" x14ac:dyDescent="0.2">
      <c r="E163" s="195" t="s">
        <v>229</v>
      </c>
    </row>
    <row r="164" spans="5:5" x14ac:dyDescent="0.2">
      <c r="E164" s="244">
        <v>5</v>
      </c>
    </row>
    <row r="165" spans="5:5" x14ac:dyDescent="0.2">
      <c r="E165" s="195" t="s">
        <v>663</v>
      </c>
    </row>
    <row r="166" spans="5:5" x14ac:dyDescent="0.2">
      <c r="E166" s="194" t="s">
        <v>504</v>
      </c>
    </row>
    <row r="167" spans="5:5" x14ac:dyDescent="0.2">
      <c r="E167" s="244">
        <v>1</v>
      </c>
    </row>
    <row r="168" spans="5:5" x14ac:dyDescent="0.2">
      <c r="E168" s="195" t="s">
        <v>640</v>
      </c>
    </row>
    <row r="169" spans="5:5" x14ac:dyDescent="0.2">
      <c r="E169" s="244">
        <v>2</v>
      </c>
    </row>
    <row r="170" spans="5:5" x14ac:dyDescent="0.2">
      <c r="E170" s="195" t="s">
        <v>230</v>
      </c>
    </row>
    <row r="171" spans="5:5" x14ac:dyDescent="0.2">
      <c r="E171" s="244">
        <v>3</v>
      </c>
    </row>
    <row r="172" spans="5:5" x14ac:dyDescent="0.2">
      <c r="E172" s="195" t="s">
        <v>229</v>
      </c>
    </row>
    <row r="173" spans="5:5" x14ac:dyDescent="0.2">
      <c r="E173" s="244">
        <v>4</v>
      </c>
    </row>
    <row r="174" spans="5:5" x14ac:dyDescent="0.2">
      <c r="E174" s="195" t="s">
        <v>228</v>
      </c>
    </row>
    <row r="175" spans="5:5" x14ac:dyDescent="0.2">
      <c r="E175" s="194" t="s">
        <v>644</v>
      </c>
    </row>
    <row r="176" spans="5:5" x14ac:dyDescent="0.2">
      <c r="E176" s="244">
        <v>1</v>
      </c>
    </row>
    <row r="177" spans="5:5" x14ac:dyDescent="0.2">
      <c r="E177" s="195" t="s">
        <v>640</v>
      </c>
    </row>
    <row r="178" spans="5:5" x14ac:dyDescent="0.2">
      <c r="E178" s="244">
        <v>2</v>
      </c>
    </row>
    <row r="179" spans="5:5" x14ac:dyDescent="0.2">
      <c r="E179" s="195" t="s">
        <v>645</v>
      </c>
    </row>
    <row r="180" spans="5:5" x14ac:dyDescent="0.2">
      <c r="E180" s="244">
        <v>3</v>
      </c>
    </row>
    <row r="181" spans="5:5" x14ac:dyDescent="0.2">
      <c r="E181" s="195" t="s">
        <v>646</v>
      </c>
    </row>
    <row r="182" spans="5:5" x14ac:dyDescent="0.2">
      <c r="E182" s="244">
        <v>4</v>
      </c>
    </row>
    <row r="183" spans="5:5" x14ac:dyDescent="0.2">
      <c r="E183" s="195" t="s">
        <v>647</v>
      </c>
    </row>
    <row r="184" spans="5:5" x14ac:dyDescent="0.2">
      <c r="E184" s="244">
        <v>5</v>
      </c>
    </row>
    <row r="185" spans="5:5" x14ac:dyDescent="0.2">
      <c r="E185" s="195" t="s">
        <v>648</v>
      </c>
    </row>
    <row r="186" spans="5:5" x14ac:dyDescent="0.2">
      <c r="E186" s="194" t="s">
        <v>449</v>
      </c>
    </row>
    <row r="187" spans="5:5" x14ac:dyDescent="0.2">
      <c r="E187" s="244">
        <v>1</v>
      </c>
    </row>
    <row r="188" spans="5:5" x14ac:dyDescent="0.2">
      <c r="E188" s="195" t="s">
        <v>640</v>
      </c>
    </row>
    <row r="189" spans="5:5" x14ac:dyDescent="0.2">
      <c r="E189" s="244">
        <v>2</v>
      </c>
    </row>
    <row r="190" spans="5:5" x14ac:dyDescent="0.2">
      <c r="E190" s="195" t="s">
        <v>680</v>
      </c>
    </row>
    <row r="191" spans="5:5" x14ac:dyDescent="0.2">
      <c r="E191" s="244">
        <v>3</v>
      </c>
    </row>
    <row r="192" spans="5:5" x14ac:dyDescent="0.2">
      <c r="E192" s="195" t="s">
        <v>683</v>
      </c>
    </row>
    <row r="193" spans="5:5" x14ac:dyDescent="0.2">
      <c r="E193" s="244">
        <v>4</v>
      </c>
    </row>
    <row r="194" spans="5:5" x14ac:dyDescent="0.2">
      <c r="E194" s="195" t="s">
        <v>228</v>
      </c>
    </row>
  </sheetData>
  <mergeCells count="1">
    <mergeCell ref="A1:E1"/>
  </mergeCells>
  <printOptions horizontalCentered="1" gridLines="1"/>
  <pageMargins left="0.25" right="0.25" top="1" bottom="0.5" header="0.3" footer="0.3"/>
  <pageSetup scale="47" fitToHeight="2" orientation="portrait" horizontalDpi="0" verticalDpi="0"/>
  <headerFooter>
    <oddHeader>&amp;C&amp;"Calibri Bold,Bold"&amp;16&amp;K000000JMT 2018
&amp;"Calibri Bold Italic,Bold Italic"Food Cooking Instructions</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224D-EA2B-454A-BC37-3FB426333F00}">
  <sheetPr>
    <pageSetUpPr fitToPage="1"/>
  </sheetPr>
  <dimension ref="A1:Y91"/>
  <sheetViews>
    <sheetView workbookViewId="0">
      <selection sqref="A1:Y1"/>
    </sheetView>
  </sheetViews>
  <sheetFormatPr baseColWidth="10" defaultColWidth="10.6640625" defaultRowHeight="16" x14ac:dyDescent="0.2"/>
  <cols>
    <col min="1" max="1" width="39.33203125" style="109" customWidth="1"/>
    <col min="2" max="2" width="10.1640625" style="105" customWidth="1"/>
    <col min="3" max="3" width="8.83203125" style="105" bestFit="1" customWidth="1"/>
    <col min="4" max="4" width="10.6640625" style="108" bestFit="1" customWidth="1"/>
    <col min="5" max="5" width="17" style="108" bestFit="1" customWidth="1"/>
    <col min="6" max="6" width="16" style="108" customWidth="1"/>
    <col min="7" max="7" width="9.33203125" style="108" bestFit="1" customWidth="1"/>
    <col min="8" max="8" width="8.83203125" style="108" bestFit="1" customWidth="1"/>
    <col min="9" max="9" width="8.83203125" style="108" customWidth="1"/>
    <col min="10" max="10" width="8" style="108" customWidth="1"/>
    <col min="11" max="11" width="9.33203125" style="115" bestFit="1" customWidth="1"/>
    <col min="12" max="12" width="6.33203125" style="108" bestFit="1" customWidth="1"/>
    <col min="13" max="13" width="10.83203125" style="115" bestFit="1" customWidth="1"/>
    <col min="14" max="14" width="8.83203125" style="114" bestFit="1" customWidth="1"/>
    <col min="15" max="15" width="15.1640625" style="113" customWidth="1"/>
    <col min="16" max="16" width="10.6640625" style="112" bestFit="1" customWidth="1"/>
    <col min="17" max="17" width="7" style="112" bestFit="1" customWidth="1"/>
    <col min="18" max="18" width="11.1640625" style="112" customWidth="1"/>
    <col min="19" max="19" width="8.1640625" style="111" bestFit="1" customWidth="1"/>
    <col min="20" max="20" width="8.83203125" style="110" bestFit="1" customWidth="1"/>
    <col min="21" max="21" width="28.83203125" style="108" bestFit="1" customWidth="1"/>
    <col min="22" max="22" width="19.6640625" style="105" bestFit="1" customWidth="1"/>
    <col min="23" max="23" width="31.83203125" style="109" customWidth="1"/>
    <col min="24" max="24" width="35.6640625" style="108" bestFit="1" customWidth="1"/>
    <col min="25" max="25" width="16.5" style="108" bestFit="1" customWidth="1"/>
    <col min="26" max="16384" width="10.6640625" style="108"/>
  </cols>
  <sheetData>
    <row r="1" spans="1:25" ht="96" customHeight="1" x14ac:dyDescent="0.2">
      <c r="A1" s="450" t="s">
        <v>759</v>
      </c>
      <c r="B1" s="450"/>
      <c r="C1" s="450"/>
      <c r="D1" s="450"/>
      <c r="E1" s="450"/>
      <c r="F1" s="450"/>
      <c r="G1" s="450"/>
      <c r="H1" s="450"/>
      <c r="I1" s="450"/>
      <c r="J1" s="450"/>
      <c r="K1" s="450"/>
      <c r="L1" s="450"/>
      <c r="M1" s="450"/>
      <c r="N1" s="450"/>
      <c r="O1" s="450"/>
      <c r="P1" s="450"/>
      <c r="Q1" s="450"/>
      <c r="R1" s="450"/>
      <c r="S1" s="450"/>
      <c r="T1" s="450"/>
      <c r="U1" s="450"/>
      <c r="V1" s="450"/>
      <c r="W1" s="450"/>
      <c r="X1" s="450"/>
      <c r="Y1" s="450"/>
    </row>
    <row r="2" spans="1:25" s="105" customFormat="1" ht="80" x14ac:dyDescent="0.2">
      <c r="A2" s="109" t="s">
        <v>375</v>
      </c>
      <c r="B2" s="105" t="s">
        <v>382</v>
      </c>
      <c r="C2" s="105" t="s">
        <v>374</v>
      </c>
      <c r="D2" s="105" t="s">
        <v>373</v>
      </c>
      <c r="E2" s="105" t="s">
        <v>392</v>
      </c>
      <c r="F2" s="105" t="s">
        <v>446</v>
      </c>
      <c r="G2" s="105" t="s">
        <v>372</v>
      </c>
      <c r="H2" s="105" t="s">
        <v>371</v>
      </c>
      <c r="I2" s="103" t="s">
        <v>384</v>
      </c>
      <c r="J2" s="103" t="s">
        <v>390</v>
      </c>
      <c r="K2" s="107" t="s">
        <v>370</v>
      </c>
      <c r="L2" s="105" t="s">
        <v>369</v>
      </c>
      <c r="M2" s="107" t="s">
        <v>136</v>
      </c>
      <c r="N2" s="142" t="s">
        <v>368</v>
      </c>
      <c r="O2" s="113" t="s">
        <v>367</v>
      </c>
      <c r="P2" s="113" t="s">
        <v>366</v>
      </c>
      <c r="Q2" s="113" t="s">
        <v>365</v>
      </c>
      <c r="R2" s="113" t="s">
        <v>364</v>
      </c>
      <c r="S2" s="152" t="s">
        <v>363</v>
      </c>
      <c r="T2" s="151" t="s">
        <v>362</v>
      </c>
      <c r="U2" s="105" t="s">
        <v>361</v>
      </c>
      <c r="V2" s="105" t="s">
        <v>360</v>
      </c>
      <c r="W2" s="105" t="s">
        <v>359</v>
      </c>
      <c r="X2" s="105" t="s">
        <v>358</v>
      </c>
      <c r="Y2" s="105" t="s">
        <v>357</v>
      </c>
    </row>
    <row r="3" spans="1:25" s="124" customFormat="1" ht="96" x14ac:dyDescent="0.2">
      <c r="A3" s="109" t="s">
        <v>356</v>
      </c>
      <c r="B3" s="105" t="s">
        <v>152</v>
      </c>
      <c r="C3" s="105"/>
      <c r="D3" s="108" t="s">
        <v>338</v>
      </c>
      <c r="E3" s="108">
        <v>18</v>
      </c>
      <c r="F3" s="139">
        <f>2/3</f>
        <v>0.66666666666666663</v>
      </c>
      <c r="G3" s="108">
        <f>4.59*6</f>
        <v>27.54</v>
      </c>
      <c r="H3" s="108">
        <v>180</v>
      </c>
      <c r="I3" s="108">
        <v>3</v>
      </c>
      <c r="J3" s="108">
        <f t="shared" ref="J3:J8" si="0">E3/I3</f>
        <v>6</v>
      </c>
      <c r="K3" s="115">
        <v>45</v>
      </c>
      <c r="L3" s="113">
        <v>2</v>
      </c>
      <c r="M3" s="115">
        <f t="shared" ref="M3:M19" si="1">IF(L3="","",(K3*L3))</f>
        <v>90</v>
      </c>
      <c r="N3" s="114">
        <f t="shared" ref="N3:N8" si="2">H3*I3</f>
        <v>540</v>
      </c>
      <c r="O3" s="113">
        <f>35*I3</f>
        <v>105</v>
      </c>
      <c r="P3" s="112">
        <f>2*I3</f>
        <v>6</v>
      </c>
      <c r="Q3" s="112">
        <f>4*I3</f>
        <v>12</v>
      </c>
      <c r="R3" s="112">
        <f>80*I3</f>
        <v>240</v>
      </c>
      <c r="S3" s="111"/>
      <c r="T3" s="110">
        <f t="shared" ref="T3:T21" si="3">IF(G3="","",(E3*H3/G3))</f>
        <v>117.64705882352942</v>
      </c>
      <c r="U3" s="108" t="s">
        <v>274</v>
      </c>
      <c r="V3" s="131" t="s">
        <v>234</v>
      </c>
      <c r="W3" s="122" t="s">
        <v>355</v>
      </c>
      <c r="X3" s="159" t="s">
        <v>383</v>
      </c>
    </row>
    <row r="4" spans="1:25" s="124" customFormat="1" ht="32" x14ac:dyDescent="0.2">
      <c r="A4" s="109" t="s">
        <v>354</v>
      </c>
      <c r="B4" s="105" t="s">
        <v>152</v>
      </c>
      <c r="C4" s="105"/>
      <c r="D4" s="108" t="s">
        <v>250</v>
      </c>
      <c r="E4" s="108">
        <v>3</v>
      </c>
      <c r="F4" s="108">
        <v>0.5</v>
      </c>
      <c r="G4" s="108">
        <v>2.4</v>
      </c>
      <c r="H4" s="108">
        <v>90</v>
      </c>
      <c r="I4" s="108">
        <v>3</v>
      </c>
      <c r="J4" s="108">
        <f t="shared" si="0"/>
        <v>1</v>
      </c>
      <c r="K4" s="115">
        <v>4.99</v>
      </c>
      <c r="L4" s="108">
        <v>8</v>
      </c>
      <c r="M4" s="115">
        <f t="shared" si="1"/>
        <v>39.92</v>
      </c>
      <c r="N4" s="114">
        <f t="shared" si="2"/>
        <v>270</v>
      </c>
      <c r="O4" s="113">
        <f>24*I4</f>
        <v>72</v>
      </c>
      <c r="P4" s="112">
        <f>1*I4</f>
        <v>3</v>
      </c>
      <c r="Q4" s="112">
        <f>0*I4</f>
        <v>0</v>
      </c>
      <c r="R4" s="112">
        <f>0*I4</f>
        <v>0</v>
      </c>
      <c r="S4" s="111"/>
      <c r="T4" s="110">
        <f t="shared" si="3"/>
        <v>112.5</v>
      </c>
      <c r="U4" s="108" t="s">
        <v>289</v>
      </c>
      <c r="V4" s="131" t="s">
        <v>289</v>
      </c>
      <c r="W4" s="122" t="s">
        <v>353</v>
      </c>
    </row>
    <row r="5" spans="1:25" s="124" customFormat="1" ht="48" x14ac:dyDescent="0.2">
      <c r="A5" s="109" t="s">
        <v>352</v>
      </c>
      <c r="B5" s="105" t="s">
        <v>152</v>
      </c>
      <c r="C5" s="105"/>
      <c r="D5" s="108" t="s">
        <v>351</v>
      </c>
      <c r="E5" s="108">
        <v>10</v>
      </c>
      <c r="F5" s="108">
        <v>1</v>
      </c>
      <c r="G5" s="108">
        <v>20.21</v>
      </c>
      <c r="H5" s="108">
        <v>260</v>
      </c>
      <c r="I5" s="108">
        <v>2.5</v>
      </c>
      <c r="J5" s="108">
        <f t="shared" si="0"/>
        <v>4</v>
      </c>
      <c r="K5" s="115">
        <v>27.52</v>
      </c>
      <c r="L5" s="108"/>
      <c r="M5" s="115" t="str">
        <f t="shared" si="1"/>
        <v/>
      </c>
      <c r="N5" s="114">
        <f t="shared" si="2"/>
        <v>650</v>
      </c>
      <c r="O5" s="113">
        <f>29*I5</f>
        <v>72.5</v>
      </c>
      <c r="P5" s="112">
        <f>11*I5</f>
        <v>27.5</v>
      </c>
      <c r="Q5" s="112">
        <f>11*I5</f>
        <v>27.5</v>
      </c>
      <c r="R5" s="112">
        <f>800*I5</f>
        <v>2000</v>
      </c>
      <c r="S5" s="111"/>
      <c r="T5" s="110">
        <f t="shared" si="3"/>
        <v>128.64918357248885</v>
      </c>
      <c r="U5" s="108" t="s">
        <v>274</v>
      </c>
      <c r="V5" s="131" t="s">
        <v>234</v>
      </c>
      <c r="W5" s="122" t="s">
        <v>350</v>
      </c>
      <c r="X5" s="109" t="s">
        <v>387</v>
      </c>
    </row>
    <row r="6" spans="1:25" s="124" customFormat="1" ht="128" x14ac:dyDescent="0.2">
      <c r="A6" s="109" t="s">
        <v>349</v>
      </c>
      <c r="B6" s="105" t="s">
        <v>152</v>
      </c>
      <c r="C6" s="105"/>
      <c r="D6" s="108" t="s">
        <v>338</v>
      </c>
      <c r="E6" s="108">
        <f>6*2</f>
        <v>12</v>
      </c>
      <c r="F6" s="108">
        <v>1</v>
      </c>
      <c r="G6" s="108">
        <f>4.94*6</f>
        <v>29.64</v>
      </c>
      <c r="H6" s="108">
        <v>310</v>
      </c>
      <c r="I6" s="108">
        <v>2</v>
      </c>
      <c r="J6" s="108">
        <f t="shared" si="0"/>
        <v>6</v>
      </c>
      <c r="K6" s="115">
        <v>38</v>
      </c>
      <c r="L6" s="108"/>
      <c r="M6" s="115" t="str">
        <f t="shared" si="1"/>
        <v/>
      </c>
      <c r="N6" s="114">
        <f t="shared" si="2"/>
        <v>620</v>
      </c>
      <c r="O6" s="113">
        <f>36*I6</f>
        <v>72</v>
      </c>
      <c r="P6" s="112">
        <f>8*I6</f>
        <v>16</v>
      </c>
      <c r="Q6" s="112">
        <f>14*I6</f>
        <v>28</v>
      </c>
      <c r="R6" s="112">
        <f>900*I6</f>
        <v>1800</v>
      </c>
      <c r="S6" s="111"/>
      <c r="T6" s="110">
        <f t="shared" si="3"/>
        <v>125.50607287449392</v>
      </c>
      <c r="U6" s="108" t="s">
        <v>274</v>
      </c>
      <c r="V6" s="131" t="s">
        <v>234</v>
      </c>
      <c r="W6" s="122" t="s">
        <v>389</v>
      </c>
      <c r="X6" s="109" t="s">
        <v>388</v>
      </c>
      <c r="Y6" s="108"/>
    </row>
    <row r="7" spans="1:25" ht="48" x14ac:dyDescent="0.2">
      <c r="A7" s="109" t="s">
        <v>445</v>
      </c>
      <c r="B7" s="105" t="s">
        <v>152</v>
      </c>
      <c r="D7" s="108" t="s">
        <v>250</v>
      </c>
      <c r="E7" s="108">
        <v>2</v>
      </c>
      <c r="F7" s="108">
        <v>3</v>
      </c>
      <c r="G7" s="108">
        <v>6</v>
      </c>
      <c r="H7" s="108">
        <v>290</v>
      </c>
      <c r="I7" s="108">
        <v>2</v>
      </c>
      <c r="J7" s="108">
        <f t="shared" si="0"/>
        <v>1</v>
      </c>
      <c r="K7" s="115">
        <v>8.32</v>
      </c>
      <c r="L7" s="108">
        <v>3</v>
      </c>
      <c r="M7" s="115">
        <f t="shared" si="1"/>
        <v>24.96</v>
      </c>
      <c r="N7" s="114">
        <f t="shared" si="2"/>
        <v>580</v>
      </c>
      <c r="O7" s="113">
        <f>42*I7</f>
        <v>84</v>
      </c>
      <c r="P7" s="112">
        <f>25*I7</f>
        <v>50</v>
      </c>
      <c r="Q7" s="112">
        <f>5*I7</f>
        <v>10</v>
      </c>
      <c r="R7" s="112">
        <f>750*I7</f>
        <v>1500</v>
      </c>
      <c r="T7" s="110">
        <f t="shared" si="3"/>
        <v>96.666666666666671</v>
      </c>
      <c r="U7" s="108" t="s">
        <v>249</v>
      </c>
      <c r="V7" s="131" t="s">
        <v>249</v>
      </c>
      <c r="W7" s="122" t="s">
        <v>447</v>
      </c>
      <c r="X7" s="109" t="s">
        <v>448</v>
      </c>
    </row>
    <row r="8" spans="1:25" ht="32" x14ac:dyDescent="0.2">
      <c r="A8" s="109" t="s">
        <v>634</v>
      </c>
      <c r="B8" s="105" t="s">
        <v>152</v>
      </c>
      <c r="D8" s="108" t="s">
        <v>280</v>
      </c>
      <c r="E8" s="108">
        <v>10</v>
      </c>
      <c r="F8" s="108">
        <v>2</v>
      </c>
      <c r="G8" s="108">
        <v>16</v>
      </c>
      <c r="H8" s="108">
        <v>180</v>
      </c>
      <c r="I8" s="108">
        <v>0.5</v>
      </c>
      <c r="J8" s="108">
        <f t="shared" si="0"/>
        <v>20</v>
      </c>
      <c r="K8" s="115">
        <v>20.99</v>
      </c>
      <c r="L8" s="108">
        <v>1</v>
      </c>
      <c r="M8" s="115">
        <f t="shared" si="1"/>
        <v>20.99</v>
      </c>
      <c r="N8" s="114">
        <f t="shared" si="2"/>
        <v>90</v>
      </c>
      <c r="O8" s="113">
        <f>18*I8</f>
        <v>9</v>
      </c>
      <c r="P8" s="112">
        <f>20*I8</f>
        <v>10</v>
      </c>
      <c r="Q8" s="112">
        <f>3.5*I8</f>
        <v>1.75</v>
      </c>
      <c r="R8" s="112">
        <f>240*I8</f>
        <v>120</v>
      </c>
      <c r="T8" s="110">
        <f t="shared" si="3"/>
        <v>112.5</v>
      </c>
      <c r="V8" s="131"/>
      <c r="W8" s="122"/>
      <c r="X8" s="109"/>
    </row>
    <row r="9" spans="1:25" ht="160" x14ac:dyDescent="0.2">
      <c r="A9" s="109" t="s">
        <v>526</v>
      </c>
      <c r="B9" s="105" t="s">
        <v>152</v>
      </c>
      <c r="D9" s="108" t="s">
        <v>338</v>
      </c>
      <c r="E9" s="108">
        <v>12</v>
      </c>
      <c r="F9" s="108">
        <v>1</v>
      </c>
      <c r="G9" s="108">
        <v>4.7300000000000004</v>
      </c>
      <c r="H9" s="108">
        <v>400</v>
      </c>
      <c r="I9" s="108">
        <v>2</v>
      </c>
      <c r="J9" s="108">
        <f>E9/I9</f>
        <v>6</v>
      </c>
      <c r="K9" s="115">
        <v>42</v>
      </c>
      <c r="L9" s="108">
        <v>1</v>
      </c>
      <c r="M9" s="115">
        <f t="shared" si="1"/>
        <v>42</v>
      </c>
      <c r="N9" s="114">
        <f>H9*I9</f>
        <v>800</v>
      </c>
      <c r="O9" s="113">
        <f>30*I9</f>
        <v>60</v>
      </c>
      <c r="P9" s="112">
        <f>14*I9</f>
        <v>28</v>
      </c>
      <c r="Q9" s="112">
        <f>24*I9</f>
        <v>48</v>
      </c>
      <c r="R9" s="112">
        <f>920*I9</f>
        <v>1840</v>
      </c>
      <c r="T9" s="110">
        <f t="shared" si="3"/>
        <v>1014.799154334038</v>
      </c>
      <c r="U9" s="108" t="s">
        <v>274</v>
      </c>
      <c r="V9" s="108" t="s">
        <v>234</v>
      </c>
      <c r="W9" s="122" t="s">
        <v>527</v>
      </c>
      <c r="X9" s="109" t="s">
        <v>525</v>
      </c>
    </row>
    <row r="10" spans="1:25" ht="17" x14ac:dyDescent="0.2">
      <c r="A10" s="109" t="s">
        <v>348</v>
      </c>
      <c r="E10" s="108">
        <v>1</v>
      </c>
      <c r="F10" s="108">
        <v>1</v>
      </c>
      <c r="G10" s="108">
        <v>1</v>
      </c>
      <c r="H10" s="108">
        <v>170</v>
      </c>
      <c r="M10" s="115" t="str">
        <f t="shared" si="1"/>
        <v/>
      </c>
      <c r="N10" s="114">
        <f>H10</f>
        <v>170</v>
      </c>
      <c r="O10" s="113">
        <v>6</v>
      </c>
      <c r="P10" s="112">
        <v>8</v>
      </c>
      <c r="Q10" s="112">
        <v>14</v>
      </c>
      <c r="R10" s="112">
        <v>100</v>
      </c>
      <c r="T10" s="110">
        <f t="shared" si="3"/>
        <v>170</v>
      </c>
      <c r="V10" s="105" t="s">
        <v>244</v>
      </c>
    </row>
    <row r="11" spans="1:25" ht="34" x14ac:dyDescent="0.2">
      <c r="A11" s="109" t="s">
        <v>347</v>
      </c>
      <c r="B11" s="105" t="s">
        <v>152</v>
      </c>
      <c r="D11" s="108" t="s">
        <v>250</v>
      </c>
      <c r="E11" s="108">
        <v>3.5</v>
      </c>
      <c r="F11" s="108">
        <v>0.25</v>
      </c>
      <c r="G11" s="108">
        <v>3.68</v>
      </c>
      <c r="H11" s="108">
        <v>190</v>
      </c>
      <c r="I11" s="108">
        <v>3.5</v>
      </c>
      <c r="J11" s="108">
        <f t="shared" ref="J11:J21" si="4">E11/I11</f>
        <v>1</v>
      </c>
      <c r="K11" s="115">
        <v>6.19</v>
      </c>
      <c r="L11" s="108">
        <v>14</v>
      </c>
      <c r="M11" s="115">
        <f t="shared" si="1"/>
        <v>86.660000000000011</v>
      </c>
      <c r="N11" s="114">
        <f t="shared" ref="N11:N21" si="5">H11*I11</f>
        <v>665</v>
      </c>
      <c r="O11" s="113">
        <f>0*I11</f>
        <v>0</v>
      </c>
      <c r="P11" s="112">
        <f>10*I11</f>
        <v>35</v>
      </c>
      <c r="Q11" s="112">
        <f>16*I11</f>
        <v>56</v>
      </c>
      <c r="R11" s="112">
        <f>690*I11</f>
        <v>2415</v>
      </c>
      <c r="T11" s="110">
        <f t="shared" si="3"/>
        <v>180.70652173913044</v>
      </c>
      <c r="U11" s="108" t="s">
        <v>289</v>
      </c>
      <c r="V11" s="105" t="s">
        <v>289</v>
      </c>
      <c r="W11" s="122" t="s">
        <v>346</v>
      </c>
    </row>
    <row r="12" spans="1:25" ht="119" x14ac:dyDescent="0.2">
      <c r="A12" s="109" t="s">
        <v>522</v>
      </c>
      <c r="B12" s="105" t="s">
        <v>152</v>
      </c>
      <c r="D12" s="108" t="s">
        <v>265</v>
      </c>
      <c r="E12" s="108">
        <v>18</v>
      </c>
      <c r="F12" s="108">
        <v>1</v>
      </c>
      <c r="G12" s="108">
        <v>17.5</v>
      </c>
      <c r="H12" s="108">
        <v>150</v>
      </c>
      <c r="I12" s="108">
        <v>2</v>
      </c>
      <c r="J12" s="108">
        <f t="shared" si="4"/>
        <v>9</v>
      </c>
      <c r="L12" s="112">
        <v>1</v>
      </c>
      <c r="M12" s="115">
        <f t="shared" si="1"/>
        <v>0</v>
      </c>
      <c r="N12" s="114">
        <f t="shared" si="5"/>
        <v>300</v>
      </c>
      <c r="O12" s="113">
        <f>13*I12</f>
        <v>26</v>
      </c>
      <c r="P12" s="112">
        <f>2*I12</f>
        <v>4</v>
      </c>
      <c r="Q12" s="112">
        <f>10*I12</f>
        <v>20</v>
      </c>
      <c r="R12" s="112">
        <f>250*I12</f>
        <v>500</v>
      </c>
      <c r="T12" s="110">
        <f t="shared" si="3"/>
        <v>154.28571428571428</v>
      </c>
      <c r="U12" s="108" t="s">
        <v>345</v>
      </c>
      <c r="V12" s="131" t="s">
        <v>244</v>
      </c>
      <c r="W12" s="122" t="s">
        <v>344</v>
      </c>
      <c r="X12" s="109" t="s">
        <v>705</v>
      </c>
      <c r="Y12" s="124"/>
    </row>
    <row r="13" spans="1:25" s="124" customFormat="1" ht="51" x14ac:dyDescent="0.2">
      <c r="A13" s="109" t="s">
        <v>343</v>
      </c>
      <c r="B13" s="105" t="s">
        <v>152</v>
      </c>
      <c r="C13" s="105"/>
      <c r="D13" s="108" t="s">
        <v>338</v>
      </c>
      <c r="E13" s="108">
        <f>2*6</f>
        <v>12</v>
      </c>
      <c r="F13" s="108">
        <v>1</v>
      </c>
      <c r="G13" s="108">
        <f>4.66*6</f>
        <v>27.96</v>
      </c>
      <c r="H13" s="108">
        <v>310</v>
      </c>
      <c r="I13" s="108">
        <v>2</v>
      </c>
      <c r="J13" s="108">
        <f t="shared" si="4"/>
        <v>6</v>
      </c>
      <c r="K13" s="115">
        <v>45</v>
      </c>
      <c r="L13" s="108"/>
      <c r="M13" s="115" t="str">
        <f t="shared" si="1"/>
        <v/>
      </c>
      <c r="N13" s="114">
        <f t="shared" si="5"/>
        <v>620</v>
      </c>
      <c r="O13" s="113">
        <f>31*I13</f>
        <v>62</v>
      </c>
      <c r="P13" s="112">
        <f>15*I13</f>
        <v>30</v>
      </c>
      <c r="Q13" s="112">
        <f>14*I13</f>
        <v>28</v>
      </c>
      <c r="R13" s="112">
        <f>970*I13</f>
        <v>1940</v>
      </c>
      <c r="S13" s="111"/>
      <c r="T13" s="110">
        <f t="shared" si="3"/>
        <v>133.04721030042919</v>
      </c>
      <c r="U13" s="108" t="s">
        <v>274</v>
      </c>
      <c r="V13" s="131" t="s">
        <v>234</v>
      </c>
      <c r="W13" s="122" t="s">
        <v>391</v>
      </c>
      <c r="X13" s="109" t="s">
        <v>342</v>
      </c>
      <c r="Y13" s="108"/>
    </row>
    <row r="14" spans="1:25" ht="119" x14ac:dyDescent="0.2">
      <c r="A14" s="109" t="s">
        <v>341</v>
      </c>
      <c r="B14" s="105" t="s">
        <v>152</v>
      </c>
      <c r="D14" s="108" t="s">
        <v>250</v>
      </c>
      <c r="E14" s="108">
        <v>2</v>
      </c>
      <c r="F14" s="108">
        <v>0.5</v>
      </c>
      <c r="G14" s="108">
        <v>3.7</v>
      </c>
      <c r="H14" s="108">
        <v>210</v>
      </c>
      <c r="I14" s="108">
        <v>2</v>
      </c>
      <c r="J14" s="108">
        <f t="shared" si="4"/>
        <v>1</v>
      </c>
      <c r="K14" s="115">
        <v>11</v>
      </c>
      <c r="L14" s="108">
        <v>3</v>
      </c>
      <c r="M14" s="115">
        <f t="shared" si="1"/>
        <v>33</v>
      </c>
      <c r="N14" s="114">
        <f t="shared" si="5"/>
        <v>420</v>
      </c>
      <c r="O14" s="113">
        <f>22*I14</f>
        <v>44</v>
      </c>
      <c r="P14" s="112">
        <f>22*I14</f>
        <v>44</v>
      </c>
      <c r="Q14" s="112">
        <f>3.5*I14</f>
        <v>7</v>
      </c>
      <c r="R14" s="112">
        <f>810*I14</f>
        <v>1620</v>
      </c>
      <c r="T14" s="110">
        <f t="shared" si="3"/>
        <v>113.5135135135135</v>
      </c>
      <c r="U14" s="108" t="s">
        <v>274</v>
      </c>
      <c r="V14" s="131" t="s">
        <v>234</v>
      </c>
      <c r="W14" s="122" t="s">
        <v>530</v>
      </c>
      <c r="X14" s="109" t="s">
        <v>340</v>
      </c>
    </row>
    <row r="15" spans="1:25" ht="68" x14ac:dyDescent="0.2">
      <c r="A15" s="109" t="s">
        <v>339</v>
      </c>
      <c r="B15" s="105" t="s">
        <v>152</v>
      </c>
      <c r="D15" s="108" t="s">
        <v>338</v>
      </c>
      <c r="E15" s="108">
        <f>6*2</f>
        <v>12</v>
      </c>
      <c r="F15" s="108">
        <v>1</v>
      </c>
      <c r="G15" s="108">
        <f>5.08*6</f>
        <v>30.48</v>
      </c>
      <c r="H15" s="108">
        <v>310</v>
      </c>
      <c r="I15" s="108">
        <v>2</v>
      </c>
      <c r="J15" s="108">
        <f t="shared" si="4"/>
        <v>6</v>
      </c>
      <c r="K15" s="115">
        <v>45</v>
      </c>
      <c r="L15" s="112">
        <v>1</v>
      </c>
      <c r="M15" s="115">
        <f t="shared" si="1"/>
        <v>45</v>
      </c>
      <c r="N15" s="114">
        <f t="shared" si="5"/>
        <v>620</v>
      </c>
      <c r="O15" s="113">
        <f>45*I15</f>
        <v>90</v>
      </c>
      <c r="P15" s="112">
        <f>14*I15</f>
        <v>28</v>
      </c>
      <c r="Q15" s="112">
        <f>10*I15</f>
        <v>20</v>
      </c>
      <c r="R15" s="112">
        <f>670*I15</f>
        <v>1340</v>
      </c>
      <c r="T15" s="110">
        <f t="shared" si="3"/>
        <v>122.04724409448819</v>
      </c>
      <c r="U15" s="108" t="s">
        <v>274</v>
      </c>
      <c r="V15" s="131" t="s">
        <v>234</v>
      </c>
      <c r="W15" s="122" t="s">
        <v>337</v>
      </c>
      <c r="X15" s="109" t="s">
        <v>393</v>
      </c>
    </row>
    <row r="16" spans="1:25" ht="34" x14ac:dyDescent="0.2">
      <c r="A16" s="109" t="s">
        <v>439</v>
      </c>
      <c r="B16" s="105" t="s">
        <v>152</v>
      </c>
      <c r="D16" s="108" t="s">
        <v>250</v>
      </c>
      <c r="E16" s="108">
        <v>2</v>
      </c>
      <c r="F16" s="108">
        <v>2.75</v>
      </c>
      <c r="G16" s="108">
        <v>5.5</v>
      </c>
      <c r="H16" s="108">
        <v>270</v>
      </c>
      <c r="I16" s="108">
        <v>2</v>
      </c>
      <c r="J16" s="108">
        <f t="shared" si="4"/>
        <v>1</v>
      </c>
      <c r="K16" s="115">
        <v>7.43</v>
      </c>
      <c r="L16" s="108">
        <v>2</v>
      </c>
      <c r="M16" s="115">
        <f t="shared" si="1"/>
        <v>14.86</v>
      </c>
      <c r="N16" s="114">
        <f t="shared" si="5"/>
        <v>540</v>
      </c>
      <c r="O16" s="113">
        <f>50*I16</f>
        <v>100</v>
      </c>
      <c r="P16" s="112">
        <f>16*I16</f>
        <v>32</v>
      </c>
      <c r="Q16" s="112">
        <f>2*I16</f>
        <v>4</v>
      </c>
      <c r="R16" s="112">
        <f>630*I16</f>
        <v>1260</v>
      </c>
      <c r="T16" s="110">
        <f t="shared" si="3"/>
        <v>98.181818181818187</v>
      </c>
      <c r="U16" s="108" t="s">
        <v>249</v>
      </c>
      <c r="V16" s="131" t="s">
        <v>249</v>
      </c>
      <c r="W16" s="122" t="s">
        <v>440</v>
      </c>
      <c r="X16" s="109" t="s">
        <v>441</v>
      </c>
    </row>
    <row r="17" spans="1:25" ht="68" x14ac:dyDescent="0.2">
      <c r="A17" s="109" t="s">
        <v>336</v>
      </c>
      <c r="B17" s="105" t="s">
        <v>152</v>
      </c>
      <c r="D17" s="108" t="s">
        <v>275</v>
      </c>
      <c r="E17" s="108">
        <v>10</v>
      </c>
      <c r="F17" s="108">
        <v>1</v>
      </c>
      <c r="G17" s="108">
        <v>19.61</v>
      </c>
      <c r="H17" s="108">
        <v>230</v>
      </c>
      <c r="I17" s="108">
        <v>2.5</v>
      </c>
      <c r="J17" s="108">
        <f t="shared" si="4"/>
        <v>4</v>
      </c>
      <c r="K17" s="115">
        <v>24.1</v>
      </c>
      <c r="L17" s="108">
        <v>1</v>
      </c>
      <c r="M17" s="115">
        <f t="shared" si="1"/>
        <v>24.1</v>
      </c>
      <c r="N17" s="114">
        <f t="shared" si="5"/>
        <v>575</v>
      </c>
      <c r="O17" s="113">
        <f>31*I17</f>
        <v>77.5</v>
      </c>
      <c r="P17" s="112">
        <f>12*I17</f>
        <v>30</v>
      </c>
      <c r="Q17" s="112">
        <f>6*I17</f>
        <v>15</v>
      </c>
      <c r="R17" s="112">
        <f>780*I17</f>
        <v>1950</v>
      </c>
      <c r="T17" s="110">
        <f t="shared" si="3"/>
        <v>117.2870984191739</v>
      </c>
      <c r="U17" s="108" t="s">
        <v>274</v>
      </c>
      <c r="V17" s="131" t="s">
        <v>234</v>
      </c>
      <c r="W17" s="122" t="s">
        <v>395</v>
      </c>
      <c r="X17" s="109" t="s">
        <v>394</v>
      </c>
    </row>
    <row r="18" spans="1:25" ht="34" x14ac:dyDescent="0.2">
      <c r="A18" s="109" t="s">
        <v>505</v>
      </c>
      <c r="B18" s="105" t="s">
        <v>152</v>
      </c>
      <c r="D18" s="108" t="s">
        <v>250</v>
      </c>
      <c r="E18" s="108">
        <v>2</v>
      </c>
      <c r="F18" s="108">
        <v>0.5</v>
      </c>
      <c r="G18" s="108">
        <v>4.5</v>
      </c>
      <c r="H18" s="108">
        <v>250</v>
      </c>
      <c r="I18" s="108">
        <v>2</v>
      </c>
      <c r="J18" s="108">
        <f t="shared" si="4"/>
        <v>1</v>
      </c>
      <c r="K18" s="115">
        <v>2.6</v>
      </c>
      <c r="L18" s="108">
        <v>4</v>
      </c>
      <c r="M18" s="115">
        <f t="shared" si="1"/>
        <v>10.4</v>
      </c>
      <c r="N18" s="114">
        <f t="shared" si="5"/>
        <v>500</v>
      </c>
      <c r="O18" s="113">
        <f>54*I18</f>
        <v>108</v>
      </c>
      <c r="P18" s="112">
        <f>5*I18</f>
        <v>10</v>
      </c>
      <c r="Q18" s="112">
        <f>2.5*I18</f>
        <v>5</v>
      </c>
      <c r="R18" s="112">
        <f>340*I18</f>
        <v>680</v>
      </c>
      <c r="T18" s="110">
        <f t="shared" si="3"/>
        <v>111.11111111111111</v>
      </c>
      <c r="U18" s="108" t="s">
        <v>268</v>
      </c>
      <c r="V18" s="131" t="s">
        <v>268</v>
      </c>
      <c r="W18" s="122" t="s">
        <v>506</v>
      </c>
      <c r="X18" s="109" t="s">
        <v>507</v>
      </c>
    </row>
    <row r="19" spans="1:25" ht="119" x14ac:dyDescent="0.2">
      <c r="A19" s="109" t="s">
        <v>396</v>
      </c>
      <c r="B19" s="105" t="s">
        <v>152</v>
      </c>
      <c r="D19" s="108" t="s">
        <v>415</v>
      </c>
      <c r="E19" s="108">
        <v>1</v>
      </c>
      <c r="F19" s="108">
        <v>1</v>
      </c>
      <c r="G19" s="108">
        <f>E19*2.4</f>
        <v>2.4</v>
      </c>
      <c r="H19" s="108">
        <v>270</v>
      </c>
      <c r="I19" s="108">
        <v>1</v>
      </c>
      <c r="J19" s="108">
        <f t="shared" si="4"/>
        <v>1</v>
      </c>
      <c r="L19" s="108">
        <v>4</v>
      </c>
      <c r="M19" s="115">
        <f t="shared" si="1"/>
        <v>0</v>
      </c>
      <c r="N19" s="114">
        <f t="shared" si="5"/>
        <v>270</v>
      </c>
      <c r="O19" s="113">
        <f>30*I19</f>
        <v>30</v>
      </c>
      <c r="P19" s="112">
        <f>20*I19</f>
        <v>20</v>
      </c>
      <c r="Q19" s="112">
        <f>9*I19</f>
        <v>9</v>
      </c>
      <c r="R19" s="112">
        <f>200*I19</f>
        <v>200</v>
      </c>
      <c r="T19" s="110">
        <f t="shared" si="3"/>
        <v>112.5</v>
      </c>
      <c r="U19" s="108" t="s">
        <v>334</v>
      </c>
      <c r="V19" s="131" t="s">
        <v>244</v>
      </c>
      <c r="W19" s="122" t="s">
        <v>335</v>
      </c>
      <c r="X19" s="109" t="s">
        <v>531</v>
      </c>
    </row>
    <row r="20" spans="1:25" ht="136" x14ac:dyDescent="0.2">
      <c r="A20" s="109" t="s">
        <v>397</v>
      </c>
      <c r="B20" s="105" t="s">
        <v>152</v>
      </c>
      <c r="D20" s="108" t="s">
        <v>415</v>
      </c>
      <c r="E20" s="108">
        <v>1</v>
      </c>
      <c r="F20" s="108">
        <v>1</v>
      </c>
      <c r="G20" s="108">
        <f>E20*2.4</f>
        <v>2.4</v>
      </c>
      <c r="H20" s="108">
        <v>280</v>
      </c>
      <c r="I20" s="108">
        <v>1</v>
      </c>
      <c r="J20" s="108">
        <f t="shared" si="4"/>
        <v>1</v>
      </c>
      <c r="L20" s="108">
        <v>3</v>
      </c>
      <c r="N20" s="114">
        <f t="shared" si="5"/>
        <v>280</v>
      </c>
      <c r="O20" s="113">
        <f>29*I20</f>
        <v>29</v>
      </c>
      <c r="P20" s="112">
        <f>20*I20</f>
        <v>20</v>
      </c>
      <c r="Q20" s="112">
        <f>10*I20</f>
        <v>10</v>
      </c>
      <c r="R20" s="112">
        <f>360*I20</f>
        <v>360</v>
      </c>
      <c r="T20" s="110">
        <f t="shared" si="3"/>
        <v>116.66666666666667</v>
      </c>
      <c r="U20" s="108" t="s">
        <v>334</v>
      </c>
      <c r="V20" s="131" t="s">
        <v>244</v>
      </c>
      <c r="W20" s="122" t="s">
        <v>398</v>
      </c>
      <c r="X20" s="109" t="s">
        <v>531</v>
      </c>
    </row>
    <row r="21" spans="1:25" ht="34" x14ac:dyDescent="0.2">
      <c r="A21" s="109" t="s">
        <v>333</v>
      </c>
      <c r="B21" s="105" t="s">
        <v>152</v>
      </c>
      <c r="D21" s="108" t="s">
        <v>250</v>
      </c>
      <c r="E21" s="108">
        <v>2.5</v>
      </c>
      <c r="F21" s="108">
        <v>0.5</v>
      </c>
      <c r="G21" s="108">
        <v>2.08</v>
      </c>
      <c r="H21" s="108">
        <v>130</v>
      </c>
      <c r="I21" s="108">
        <v>2.5</v>
      </c>
      <c r="J21" s="108">
        <f t="shared" si="4"/>
        <v>1</v>
      </c>
      <c r="K21" s="115">
        <v>6.49</v>
      </c>
      <c r="L21" s="108">
        <v>8</v>
      </c>
      <c r="M21" s="115">
        <f>IF(L21="","",(K21*L21))</f>
        <v>51.92</v>
      </c>
      <c r="N21" s="114">
        <f t="shared" si="5"/>
        <v>325</v>
      </c>
      <c r="O21" s="113">
        <f>16*I21</f>
        <v>40</v>
      </c>
      <c r="P21" s="112">
        <f>1*I21</f>
        <v>2.5</v>
      </c>
      <c r="Q21" s="112">
        <f>7*I21</f>
        <v>17.5</v>
      </c>
      <c r="R21" s="112">
        <f>10*I21</f>
        <v>25</v>
      </c>
      <c r="T21" s="110">
        <f t="shared" si="3"/>
        <v>156.25</v>
      </c>
      <c r="U21" s="108" t="s">
        <v>289</v>
      </c>
      <c r="V21" s="105" t="s">
        <v>289</v>
      </c>
      <c r="W21" s="122" t="s">
        <v>332</v>
      </c>
    </row>
    <row r="22" spans="1:25" ht="17" x14ac:dyDescent="0.2">
      <c r="A22" s="109" t="str">
        <f>Recipes!A16</f>
        <v>Coffee w/ Milk (RECIPE)</v>
      </c>
      <c r="B22" s="105" t="s">
        <v>152</v>
      </c>
      <c r="C22" s="105" t="s">
        <v>152</v>
      </c>
      <c r="N22" s="114">
        <f ca="1">Recipes!B19</f>
        <v>122</v>
      </c>
      <c r="O22" s="137">
        <f ca="1">Recipes!C19</f>
        <v>18</v>
      </c>
      <c r="P22" s="137">
        <f ca="1">Recipes!D19</f>
        <v>9</v>
      </c>
      <c r="Q22" s="137">
        <f ca="1">Recipes!E19</f>
        <v>7.5</v>
      </c>
      <c r="R22" s="137">
        <f ca="1">Recipes!F19</f>
        <v>105</v>
      </c>
      <c r="U22" s="108" t="s">
        <v>511</v>
      </c>
      <c r="V22" s="131" t="s">
        <v>234</v>
      </c>
      <c r="W22" s="109" t="s">
        <v>512</v>
      </c>
    </row>
    <row r="23" spans="1:25" ht="51" x14ac:dyDescent="0.2">
      <c r="A23" s="109" t="s">
        <v>331</v>
      </c>
      <c r="B23" s="105" t="s">
        <v>152</v>
      </c>
      <c r="D23" s="108" t="s">
        <v>250</v>
      </c>
      <c r="E23" s="108">
        <v>2</v>
      </c>
      <c r="F23" s="108">
        <v>0.5</v>
      </c>
      <c r="G23" s="108">
        <v>4.5999999999999996</v>
      </c>
      <c r="H23" s="108">
        <v>270</v>
      </c>
      <c r="I23" s="108">
        <v>2</v>
      </c>
      <c r="J23" s="108">
        <f t="shared" ref="J23:J44" si="6">E23/I23</f>
        <v>1</v>
      </c>
      <c r="K23" s="115">
        <v>6</v>
      </c>
      <c r="L23" s="108">
        <v>10</v>
      </c>
      <c r="M23" s="115">
        <f t="shared" ref="M23:M58" si="7">IF(L23="","",(K23*L23))</f>
        <v>60</v>
      </c>
      <c r="N23" s="114">
        <f t="shared" ref="N23:N44" si="8">H23*I23</f>
        <v>540</v>
      </c>
      <c r="O23" s="113">
        <f>36*I23</f>
        <v>72</v>
      </c>
      <c r="P23" s="112">
        <f>7*I23</f>
        <v>14</v>
      </c>
      <c r="Q23" s="112">
        <f>11*I23</f>
        <v>22</v>
      </c>
      <c r="R23" s="112">
        <f>390*I23</f>
        <v>780</v>
      </c>
      <c r="T23" s="110">
        <f t="shared" ref="T23:T59" si="9">IF(G23="","",(E23*H23/G23))</f>
        <v>117.39130434782609</v>
      </c>
      <c r="U23" s="108" t="s">
        <v>268</v>
      </c>
      <c r="V23" s="105" t="s">
        <v>268</v>
      </c>
      <c r="W23" s="122" t="s">
        <v>330</v>
      </c>
      <c r="X23" s="109" t="s">
        <v>401</v>
      </c>
    </row>
    <row r="24" spans="1:25" ht="51" x14ac:dyDescent="0.2">
      <c r="A24" s="109" t="s">
        <v>329</v>
      </c>
      <c r="B24" s="105" t="s">
        <v>152</v>
      </c>
      <c r="D24" s="108" t="s">
        <v>250</v>
      </c>
      <c r="E24" s="108">
        <v>2</v>
      </c>
      <c r="F24" s="108">
        <v>0.5</v>
      </c>
      <c r="G24" s="108">
        <v>8.8000000000000007</v>
      </c>
      <c r="H24" s="108">
        <v>480</v>
      </c>
      <c r="I24" s="108">
        <v>2</v>
      </c>
      <c r="J24" s="108">
        <f t="shared" si="6"/>
        <v>1</v>
      </c>
      <c r="K24" s="115">
        <v>7</v>
      </c>
      <c r="L24" s="108">
        <v>9</v>
      </c>
      <c r="M24" s="115">
        <f t="shared" si="7"/>
        <v>63</v>
      </c>
      <c r="N24" s="114">
        <f t="shared" si="8"/>
        <v>960</v>
      </c>
      <c r="O24" s="113">
        <f>89*I24</f>
        <v>178</v>
      </c>
      <c r="P24" s="112">
        <f>17*I24</f>
        <v>34</v>
      </c>
      <c r="Q24" s="112">
        <f>6*I24</f>
        <v>12</v>
      </c>
      <c r="R24" s="112">
        <f>810*I24</f>
        <v>1620</v>
      </c>
      <c r="T24" s="110">
        <f t="shared" si="9"/>
        <v>109.09090909090908</v>
      </c>
      <c r="U24" s="108" t="s">
        <v>268</v>
      </c>
      <c r="V24" s="105" t="s">
        <v>268</v>
      </c>
      <c r="W24" s="122" t="s">
        <v>328</v>
      </c>
      <c r="X24" s="109" t="s">
        <v>402</v>
      </c>
    </row>
    <row r="25" spans="1:25" ht="102" x14ac:dyDescent="0.2">
      <c r="A25" s="109" t="s">
        <v>327</v>
      </c>
      <c r="B25" s="105" t="s">
        <v>152</v>
      </c>
      <c r="D25" s="108" t="s">
        <v>324</v>
      </c>
      <c r="E25" s="108">
        <v>12</v>
      </c>
      <c r="F25" s="108">
        <v>1</v>
      </c>
      <c r="G25" s="108">
        <f>1.3*12</f>
        <v>15.600000000000001</v>
      </c>
      <c r="H25" s="108">
        <v>130</v>
      </c>
      <c r="I25" s="108">
        <v>1</v>
      </c>
      <c r="J25" s="108">
        <f t="shared" si="6"/>
        <v>12</v>
      </c>
      <c r="K25" s="115">
        <v>25.99</v>
      </c>
      <c r="L25" s="112">
        <v>1</v>
      </c>
      <c r="M25" s="115">
        <f t="shared" si="7"/>
        <v>25.99</v>
      </c>
      <c r="N25" s="114">
        <f t="shared" si="8"/>
        <v>130</v>
      </c>
      <c r="O25" s="113">
        <f>8*I25</f>
        <v>8</v>
      </c>
      <c r="P25" s="112">
        <f>7*I25</f>
        <v>7</v>
      </c>
      <c r="Q25" s="112">
        <f>8*I25</f>
        <v>8</v>
      </c>
      <c r="R25" s="112">
        <f>320*I25</f>
        <v>320</v>
      </c>
      <c r="T25" s="110">
        <f t="shared" si="9"/>
        <v>99.999999999999986</v>
      </c>
      <c r="U25" s="108" t="s">
        <v>323</v>
      </c>
      <c r="V25" s="105" t="s">
        <v>234</v>
      </c>
      <c r="W25" s="122" t="s">
        <v>326</v>
      </c>
      <c r="X25" s="109"/>
    </row>
    <row r="26" spans="1:25" ht="102" x14ac:dyDescent="0.2">
      <c r="A26" s="109" t="s">
        <v>325</v>
      </c>
      <c r="B26" s="105" t="s">
        <v>152</v>
      </c>
      <c r="D26" s="108" t="s">
        <v>324</v>
      </c>
      <c r="E26" s="108">
        <v>12</v>
      </c>
      <c r="F26" s="108">
        <v>1</v>
      </c>
      <c r="G26" s="108">
        <f>1.3*12</f>
        <v>15.600000000000001</v>
      </c>
      <c r="H26" s="108">
        <v>130</v>
      </c>
      <c r="I26" s="108">
        <v>1</v>
      </c>
      <c r="J26" s="108">
        <f t="shared" si="6"/>
        <v>12</v>
      </c>
      <c r="K26" s="115">
        <v>25.82</v>
      </c>
      <c r="L26" s="108">
        <v>1</v>
      </c>
      <c r="M26" s="115">
        <f t="shared" si="7"/>
        <v>25.82</v>
      </c>
      <c r="N26" s="114">
        <f t="shared" si="8"/>
        <v>130</v>
      </c>
      <c r="O26" s="113">
        <f>12*I26</f>
        <v>12</v>
      </c>
      <c r="P26" s="112">
        <f>8*I26</f>
        <v>8</v>
      </c>
      <c r="Q26" s="112">
        <f>6*I26</f>
        <v>6</v>
      </c>
      <c r="R26" s="112">
        <f>290*I26</f>
        <v>290</v>
      </c>
      <c r="T26" s="110">
        <f t="shared" si="9"/>
        <v>99.999999999999986</v>
      </c>
      <c r="U26" s="108" t="s">
        <v>323</v>
      </c>
      <c r="V26" s="105" t="s">
        <v>234</v>
      </c>
      <c r="W26" s="122" t="s">
        <v>322</v>
      </c>
      <c r="X26" s="109"/>
    </row>
    <row r="27" spans="1:25" ht="34" x14ac:dyDescent="0.2">
      <c r="A27" s="109" t="s">
        <v>519</v>
      </c>
      <c r="B27" s="105" t="s">
        <v>152</v>
      </c>
      <c r="D27" s="108" t="s">
        <v>250</v>
      </c>
      <c r="E27" s="108">
        <v>2</v>
      </c>
      <c r="F27" s="108">
        <v>0.5</v>
      </c>
      <c r="G27" s="108">
        <v>3.2</v>
      </c>
      <c r="H27" s="108">
        <v>190</v>
      </c>
      <c r="I27" s="108">
        <v>2</v>
      </c>
      <c r="J27" s="108">
        <f t="shared" si="6"/>
        <v>1</v>
      </c>
      <c r="K27" s="115">
        <v>4</v>
      </c>
      <c r="L27" s="108">
        <v>2</v>
      </c>
      <c r="M27" s="115">
        <f t="shared" si="7"/>
        <v>8</v>
      </c>
      <c r="N27" s="114">
        <f t="shared" si="8"/>
        <v>380</v>
      </c>
      <c r="O27" s="113">
        <f>33*I27</f>
        <v>66</v>
      </c>
      <c r="P27" s="112">
        <f>4*I27</f>
        <v>8</v>
      </c>
      <c r="Q27" s="112">
        <f>5*I27</f>
        <v>10</v>
      </c>
      <c r="R27" s="112">
        <f>250*I27</f>
        <v>500</v>
      </c>
      <c r="T27" s="110">
        <f t="shared" si="9"/>
        <v>118.75</v>
      </c>
      <c r="U27" s="108" t="s">
        <v>268</v>
      </c>
      <c r="V27" s="131" t="s">
        <v>268</v>
      </c>
      <c r="W27" s="122" t="s">
        <v>520</v>
      </c>
      <c r="X27" s="109" t="s">
        <v>521</v>
      </c>
      <c r="Y27" s="124"/>
    </row>
    <row r="28" spans="1:25" ht="170" x14ac:dyDescent="0.2">
      <c r="A28" s="144" t="s">
        <v>480</v>
      </c>
      <c r="B28" s="103" t="s">
        <v>152</v>
      </c>
      <c r="C28" s="103"/>
      <c r="D28" s="140" t="s">
        <v>250</v>
      </c>
      <c r="E28" s="140">
        <v>2</v>
      </c>
      <c r="F28" s="140">
        <v>0.5</v>
      </c>
      <c r="G28" s="140">
        <v>9.5</v>
      </c>
      <c r="H28" s="140">
        <v>620</v>
      </c>
      <c r="I28" s="140">
        <v>1</v>
      </c>
      <c r="J28" s="140">
        <f t="shared" si="6"/>
        <v>2</v>
      </c>
      <c r="K28" s="145">
        <v>8</v>
      </c>
      <c r="L28" s="140">
        <v>12</v>
      </c>
      <c r="M28" s="145">
        <f t="shared" si="7"/>
        <v>96</v>
      </c>
      <c r="N28" s="150">
        <f t="shared" si="8"/>
        <v>620</v>
      </c>
      <c r="O28" s="149">
        <f>74*I28</f>
        <v>74</v>
      </c>
      <c r="P28" s="148">
        <f>16*I28</f>
        <v>16</v>
      </c>
      <c r="Q28" s="148">
        <f>31*I28</f>
        <v>31</v>
      </c>
      <c r="R28" s="148">
        <f>280*I28</f>
        <v>280</v>
      </c>
      <c r="S28" s="147"/>
      <c r="T28" s="146">
        <f t="shared" si="9"/>
        <v>130.52631578947367</v>
      </c>
      <c r="U28" s="140" t="s">
        <v>268</v>
      </c>
      <c r="V28" s="105" t="s">
        <v>268</v>
      </c>
      <c r="W28" s="122" t="s">
        <v>321</v>
      </c>
      <c r="X28" s="144" t="s">
        <v>403</v>
      </c>
    </row>
    <row r="29" spans="1:25" ht="136" x14ac:dyDescent="0.2">
      <c r="A29" s="109" t="s">
        <v>320</v>
      </c>
      <c r="B29" s="105" t="s">
        <v>152</v>
      </c>
      <c r="D29" s="108" t="s">
        <v>275</v>
      </c>
      <c r="E29" s="108">
        <v>20</v>
      </c>
      <c r="F29" s="108">
        <v>0.5</v>
      </c>
      <c r="G29" s="108">
        <v>39.51</v>
      </c>
      <c r="H29" s="108">
        <v>250</v>
      </c>
      <c r="I29" s="108">
        <v>2</v>
      </c>
      <c r="J29" s="108">
        <f t="shared" si="6"/>
        <v>10</v>
      </c>
      <c r="K29" s="115">
        <v>30.46</v>
      </c>
      <c r="L29" s="112">
        <v>2</v>
      </c>
      <c r="M29" s="115">
        <f t="shared" si="7"/>
        <v>60.92</v>
      </c>
      <c r="N29" s="114">
        <f t="shared" si="8"/>
        <v>500</v>
      </c>
      <c r="O29" s="113">
        <f>37*I29</f>
        <v>74</v>
      </c>
      <c r="P29" s="112">
        <f>8*I29</f>
        <v>16</v>
      </c>
      <c r="Q29" s="112">
        <f>9*I29</f>
        <v>18</v>
      </c>
      <c r="R29" s="112">
        <f>65*I29</f>
        <v>130</v>
      </c>
      <c r="T29" s="110">
        <f t="shared" si="9"/>
        <v>126.55024044545685</v>
      </c>
      <c r="U29" s="108" t="s">
        <v>274</v>
      </c>
      <c r="V29" s="105" t="s">
        <v>234</v>
      </c>
      <c r="W29" s="122" t="s">
        <v>319</v>
      </c>
      <c r="X29" s="109" t="s">
        <v>404</v>
      </c>
    </row>
    <row r="30" spans="1:25" ht="51" x14ac:dyDescent="0.2">
      <c r="A30" s="109" t="s">
        <v>405</v>
      </c>
      <c r="B30" s="105" t="s">
        <v>152</v>
      </c>
      <c r="D30" s="108" t="s">
        <v>318</v>
      </c>
      <c r="E30" s="108">
        <v>58</v>
      </c>
      <c r="F30" s="108">
        <v>17</v>
      </c>
      <c r="G30" s="108">
        <f>5*16</f>
        <v>80</v>
      </c>
      <c r="H30" s="108">
        <v>140</v>
      </c>
      <c r="I30" s="108">
        <v>1</v>
      </c>
      <c r="J30" s="108">
        <f t="shared" si="6"/>
        <v>58</v>
      </c>
      <c r="K30" s="115">
        <v>12.79</v>
      </c>
      <c r="M30" s="115" t="str">
        <f t="shared" si="7"/>
        <v/>
      </c>
      <c r="N30" s="114">
        <f t="shared" si="8"/>
        <v>140</v>
      </c>
      <c r="O30" s="113">
        <f>33*I30</f>
        <v>33</v>
      </c>
      <c r="P30" s="112">
        <f>2*I30</f>
        <v>2</v>
      </c>
      <c r="Q30" s="112">
        <f>0*I30</f>
        <v>0</v>
      </c>
      <c r="R30" s="112">
        <f>10*I30</f>
        <v>10</v>
      </c>
      <c r="T30" s="110">
        <f t="shared" si="9"/>
        <v>101.5</v>
      </c>
      <c r="U30" s="108" t="s">
        <v>317</v>
      </c>
      <c r="V30" s="105" t="s">
        <v>234</v>
      </c>
      <c r="W30" s="122" t="s">
        <v>316</v>
      </c>
      <c r="X30" s="109"/>
    </row>
    <row r="31" spans="1:25" ht="34" x14ac:dyDescent="0.2">
      <c r="A31" s="109" t="s">
        <v>452</v>
      </c>
      <c r="B31" s="105" t="s">
        <v>152</v>
      </c>
      <c r="D31" s="108" t="s">
        <v>250</v>
      </c>
      <c r="E31" s="108">
        <v>2</v>
      </c>
      <c r="F31" s="108">
        <v>3</v>
      </c>
      <c r="G31" s="108">
        <v>6</v>
      </c>
      <c r="H31" s="108">
        <v>310</v>
      </c>
      <c r="I31" s="108">
        <v>2</v>
      </c>
      <c r="J31" s="108">
        <f t="shared" si="6"/>
        <v>1</v>
      </c>
      <c r="K31" s="115">
        <v>6.25</v>
      </c>
      <c r="L31" s="108">
        <v>3</v>
      </c>
      <c r="M31" s="115">
        <f t="shared" si="7"/>
        <v>18.75</v>
      </c>
      <c r="N31" s="114">
        <f t="shared" si="8"/>
        <v>620</v>
      </c>
      <c r="O31" s="113">
        <f>62*I31</f>
        <v>124</v>
      </c>
      <c r="P31" s="112">
        <f>11*I31</f>
        <v>22</v>
      </c>
      <c r="Q31" s="112">
        <f>3.5*I31</f>
        <v>7</v>
      </c>
      <c r="R31" s="112">
        <f>180*I31</f>
        <v>360</v>
      </c>
      <c r="T31" s="110">
        <f t="shared" si="9"/>
        <v>103.33333333333333</v>
      </c>
      <c r="U31" s="108" t="s">
        <v>249</v>
      </c>
      <c r="V31" s="105" t="s">
        <v>249</v>
      </c>
      <c r="W31" s="122" t="s">
        <v>453</v>
      </c>
      <c r="X31" s="109" t="s">
        <v>454</v>
      </c>
    </row>
    <row r="32" spans="1:25" ht="34" x14ac:dyDescent="0.2">
      <c r="A32" s="109" t="s">
        <v>442</v>
      </c>
      <c r="B32" s="105" t="s">
        <v>152</v>
      </c>
      <c r="D32" s="108" t="s">
        <v>250</v>
      </c>
      <c r="E32" s="108">
        <v>2</v>
      </c>
      <c r="F32" s="108">
        <v>2.75</v>
      </c>
      <c r="G32" s="108">
        <v>5.75</v>
      </c>
      <c r="H32" s="108">
        <v>300</v>
      </c>
      <c r="I32" s="108">
        <v>2</v>
      </c>
      <c r="J32" s="108">
        <f t="shared" si="6"/>
        <v>1</v>
      </c>
      <c r="K32" s="115">
        <v>6.75</v>
      </c>
      <c r="L32" s="108">
        <v>2</v>
      </c>
      <c r="M32" s="115">
        <f t="shared" si="7"/>
        <v>13.5</v>
      </c>
      <c r="N32" s="114">
        <f t="shared" si="8"/>
        <v>600</v>
      </c>
      <c r="O32" s="113">
        <f>80*I32</f>
        <v>160</v>
      </c>
      <c r="P32" s="112">
        <f>11*I32</f>
        <v>22</v>
      </c>
      <c r="Q32" s="112">
        <f>1.5*I32</f>
        <v>3</v>
      </c>
      <c r="R32" s="112">
        <f>480*I32</f>
        <v>960</v>
      </c>
      <c r="T32" s="110">
        <f t="shared" si="9"/>
        <v>104.34782608695652</v>
      </c>
      <c r="U32" s="108" t="s">
        <v>249</v>
      </c>
      <c r="V32" s="105" t="s">
        <v>249</v>
      </c>
      <c r="W32" s="122" t="s">
        <v>443</v>
      </c>
      <c r="X32" s="109" t="s">
        <v>444</v>
      </c>
    </row>
    <row r="33" spans="1:24" ht="136" x14ac:dyDescent="0.2">
      <c r="A33" s="109" t="s">
        <v>315</v>
      </c>
      <c r="B33" s="105" t="s">
        <v>152</v>
      </c>
      <c r="D33" s="105" t="s">
        <v>686</v>
      </c>
      <c r="E33" s="108">
        <f>8*3</f>
        <v>24</v>
      </c>
      <c r="F33" s="108">
        <v>1</v>
      </c>
      <c r="G33" s="108">
        <f>7.44*3</f>
        <v>22.32</v>
      </c>
      <c r="H33" s="108">
        <v>110</v>
      </c>
      <c r="I33" s="108">
        <v>1</v>
      </c>
      <c r="J33" s="108">
        <f t="shared" si="6"/>
        <v>24</v>
      </c>
      <c r="K33" s="115">
        <v>14.06</v>
      </c>
      <c r="L33" s="112">
        <v>1</v>
      </c>
      <c r="M33" s="115">
        <f t="shared" si="7"/>
        <v>14.06</v>
      </c>
      <c r="N33" s="114">
        <f t="shared" si="8"/>
        <v>110</v>
      </c>
      <c r="O33" s="113">
        <f>21*I33</f>
        <v>21</v>
      </c>
      <c r="P33" s="112">
        <f>1*I33</f>
        <v>1</v>
      </c>
      <c r="Q33" s="112">
        <f>2*I33</f>
        <v>2</v>
      </c>
      <c r="R33" s="112">
        <f>150*I33</f>
        <v>150</v>
      </c>
      <c r="T33" s="110">
        <f t="shared" si="9"/>
        <v>118.27956989247312</v>
      </c>
      <c r="U33" s="108" t="s">
        <v>314</v>
      </c>
      <c r="V33" s="105" t="s">
        <v>234</v>
      </c>
      <c r="W33" s="122" t="s">
        <v>684</v>
      </c>
      <c r="X33" s="109"/>
    </row>
    <row r="34" spans="1:24" ht="119" x14ac:dyDescent="0.2">
      <c r="A34" s="109" t="s">
        <v>313</v>
      </c>
      <c r="B34" s="105" t="s">
        <v>152</v>
      </c>
      <c r="D34" s="108" t="s">
        <v>312</v>
      </c>
      <c r="E34" s="108">
        <v>12</v>
      </c>
      <c r="F34" s="108">
        <v>1</v>
      </c>
      <c r="G34" s="108">
        <f>1.13*12</f>
        <v>13.559999999999999</v>
      </c>
      <c r="H34" s="108">
        <v>170</v>
      </c>
      <c r="I34" s="108">
        <v>1</v>
      </c>
      <c r="J34" s="108">
        <f t="shared" si="6"/>
        <v>12</v>
      </c>
      <c r="K34" s="115">
        <v>35.880000000000003</v>
      </c>
      <c r="L34" s="112">
        <v>1</v>
      </c>
      <c r="M34" s="115">
        <f t="shared" si="7"/>
        <v>35.880000000000003</v>
      </c>
      <c r="N34" s="114">
        <f t="shared" si="8"/>
        <v>170</v>
      </c>
      <c r="O34" s="113">
        <f>28*I34</f>
        <v>28</v>
      </c>
      <c r="P34" s="112">
        <f>2*I34</f>
        <v>2</v>
      </c>
      <c r="Q34" s="112">
        <f>6*I34</f>
        <v>6</v>
      </c>
      <c r="R34" s="112">
        <f>135*I34</f>
        <v>135</v>
      </c>
      <c r="T34" s="110">
        <f t="shared" si="9"/>
        <v>150.44247787610621</v>
      </c>
      <c r="U34" s="108" t="s">
        <v>274</v>
      </c>
      <c r="V34" s="105" t="s">
        <v>234</v>
      </c>
      <c r="W34" s="122" t="s">
        <v>311</v>
      </c>
      <c r="X34" s="109"/>
    </row>
    <row r="35" spans="1:24" ht="34" x14ac:dyDescent="0.2">
      <c r="A35" s="109" t="s">
        <v>310</v>
      </c>
      <c r="B35" s="105" t="s">
        <v>152</v>
      </c>
      <c r="D35" s="108" t="s">
        <v>250</v>
      </c>
      <c r="E35" s="108">
        <v>2</v>
      </c>
      <c r="F35" s="108">
        <v>0.5</v>
      </c>
      <c r="G35" s="108">
        <v>6.9</v>
      </c>
      <c r="H35" s="108">
        <v>390</v>
      </c>
      <c r="I35" s="108">
        <v>1</v>
      </c>
      <c r="J35" s="108">
        <f t="shared" si="6"/>
        <v>2</v>
      </c>
      <c r="K35" s="115">
        <v>5</v>
      </c>
      <c r="M35" s="115" t="str">
        <f t="shared" si="7"/>
        <v/>
      </c>
      <c r="N35" s="114">
        <f t="shared" si="8"/>
        <v>390</v>
      </c>
      <c r="O35" s="113">
        <f>66*I35</f>
        <v>66</v>
      </c>
      <c r="P35" s="112">
        <f>13*I35</f>
        <v>13</v>
      </c>
      <c r="Q35" s="112">
        <f>10*I35</f>
        <v>10</v>
      </c>
      <c r="R35" s="112">
        <f>180*I35</f>
        <v>180</v>
      </c>
      <c r="T35" s="110">
        <f t="shared" si="9"/>
        <v>113.04347826086956</v>
      </c>
      <c r="U35" s="108" t="s">
        <v>268</v>
      </c>
      <c r="V35" s="105" t="s">
        <v>268</v>
      </c>
      <c r="W35" s="122" t="s">
        <v>309</v>
      </c>
      <c r="X35" s="109" t="s">
        <v>308</v>
      </c>
    </row>
    <row r="36" spans="1:24" ht="102" x14ac:dyDescent="0.2">
      <c r="A36" s="109" t="s">
        <v>406</v>
      </c>
      <c r="B36" s="105" t="s">
        <v>152</v>
      </c>
      <c r="D36" s="108" t="s">
        <v>275</v>
      </c>
      <c r="E36" s="108">
        <v>17</v>
      </c>
      <c r="F36" s="108">
        <v>1</v>
      </c>
      <c r="G36" s="108">
        <v>44.5</v>
      </c>
      <c r="H36" s="108">
        <v>260</v>
      </c>
      <c r="I36" s="108">
        <v>2</v>
      </c>
      <c r="J36" s="108">
        <f t="shared" si="6"/>
        <v>8.5</v>
      </c>
      <c r="K36" s="115">
        <v>45.71</v>
      </c>
      <c r="M36" s="115" t="str">
        <f t="shared" si="7"/>
        <v/>
      </c>
      <c r="N36" s="114">
        <f t="shared" si="8"/>
        <v>520</v>
      </c>
      <c r="O36" s="113">
        <f>49*I36</f>
        <v>98</v>
      </c>
      <c r="P36" s="112">
        <f>15*I36</f>
        <v>30</v>
      </c>
      <c r="Q36" s="112">
        <f>1*I36</f>
        <v>2</v>
      </c>
      <c r="R36" s="112">
        <f>1180*I36</f>
        <v>2360</v>
      </c>
      <c r="T36" s="110">
        <f t="shared" si="9"/>
        <v>99.325842696629209</v>
      </c>
      <c r="U36" s="108" t="s">
        <v>268</v>
      </c>
      <c r="V36" s="105" t="s">
        <v>234</v>
      </c>
      <c r="W36" s="122" t="s">
        <v>307</v>
      </c>
      <c r="X36" s="109" t="s">
        <v>418</v>
      </c>
    </row>
    <row r="37" spans="1:24" ht="136" x14ac:dyDescent="0.2">
      <c r="A37" s="109" t="s">
        <v>306</v>
      </c>
      <c r="B37" s="105" t="s">
        <v>152</v>
      </c>
      <c r="D37" s="108" t="s">
        <v>301</v>
      </c>
      <c r="E37" s="108">
        <f>8*2.5</f>
        <v>20</v>
      </c>
      <c r="F37" s="108">
        <v>1</v>
      </c>
      <c r="G37" s="108">
        <f>2.7*8</f>
        <v>21.6</v>
      </c>
      <c r="H37" s="108">
        <v>90</v>
      </c>
      <c r="I37" s="108">
        <v>2.5</v>
      </c>
      <c r="J37" s="108">
        <f t="shared" si="6"/>
        <v>8</v>
      </c>
      <c r="K37" s="115">
        <v>35.92</v>
      </c>
      <c r="L37" s="105">
        <v>1</v>
      </c>
      <c r="M37" s="115">
        <f t="shared" si="7"/>
        <v>35.92</v>
      </c>
      <c r="N37" s="114">
        <f t="shared" si="8"/>
        <v>225</v>
      </c>
      <c r="O37" s="113">
        <f>12*I37</f>
        <v>30</v>
      </c>
      <c r="P37" s="112">
        <f>8*I37</f>
        <v>20</v>
      </c>
      <c r="Q37" s="112">
        <f>1.5*I37</f>
        <v>3.75</v>
      </c>
      <c r="R37" s="112">
        <f>380*I37</f>
        <v>950</v>
      </c>
      <c r="T37" s="110">
        <f t="shared" si="9"/>
        <v>83.333333333333329</v>
      </c>
      <c r="U37" s="108" t="s">
        <v>300</v>
      </c>
      <c r="V37" s="105" t="s">
        <v>234</v>
      </c>
      <c r="W37" s="122" t="s">
        <v>305</v>
      </c>
      <c r="X37" s="109"/>
    </row>
    <row r="38" spans="1:24" ht="136" x14ac:dyDescent="0.2">
      <c r="A38" s="109" t="s">
        <v>304</v>
      </c>
      <c r="B38" s="105" t="s">
        <v>152</v>
      </c>
      <c r="D38" s="108" t="s">
        <v>301</v>
      </c>
      <c r="E38" s="108">
        <f>8*2.5</f>
        <v>20</v>
      </c>
      <c r="F38" s="108">
        <v>1</v>
      </c>
      <c r="G38" s="108">
        <f>2.7*8</f>
        <v>21.6</v>
      </c>
      <c r="H38" s="108">
        <v>90</v>
      </c>
      <c r="I38" s="108">
        <v>2.5</v>
      </c>
      <c r="J38" s="108">
        <f t="shared" si="6"/>
        <v>8</v>
      </c>
      <c r="K38" s="115">
        <v>46.17</v>
      </c>
      <c r="L38" s="108">
        <v>1</v>
      </c>
      <c r="M38" s="115">
        <f t="shared" si="7"/>
        <v>46.17</v>
      </c>
      <c r="N38" s="114">
        <f t="shared" si="8"/>
        <v>225</v>
      </c>
      <c r="O38" s="113">
        <f>12*I38</f>
        <v>30</v>
      </c>
      <c r="P38" s="112">
        <f>8*I38</f>
        <v>20</v>
      </c>
      <c r="Q38" s="112">
        <f>1.5*I38</f>
        <v>3.75</v>
      </c>
      <c r="R38" s="112">
        <f>350*I38</f>
        <v>875</v>
      </c>
      <c r="T38" s="110">
        <f t="shared" si="9"/>
        <v>83.333333333333329</v>
      </c>
      <c r="U38" s="108" t="s">
        <v>300</v>
      </c>
      <c r="V38" s="105" t="s">
        <v>234</v>
      </c>
      <c r="W38" s="122" t="s">
        <v>303</v>
      </c>
      <c r="X38" s="109"/>
    </row>
    <row r="39" spans="1:24" ht="136" x14ac:dyDescent="0.2">
      <c r="A39" s="109" t="s">
        <v>302</v>
      </c>
      <c r="B39" s="105" t="s">
        <v>152</v>
      </c>
      <c r="D39" s="108" t="s">
        <v>301</v>
      </c>
      <c r="E39" s="108">
        <f>2.5*8</f>
        <v>20</v>
      </c>
      <c r="F39" s="108">
        <v>1</v>
      </c>
      <c r="G39" s="108">
        <f>2.7*8</f>
        <v>21.6</v>
      </c>
      <c r="H39" s="108">
        <v>80</v>
      </c>
      <c r="I39" s="108">
        <v>2.5</v>
      </c>
      <c r="J39" s="108">
        <f t="shared" si="6"/>
        <v>8</v>
      </c>
      <c r="K39" s="115">
        <v>35.92</v>
      </c>
      <c r="L39" s="108">
        <v>1</v>
      </c>
      <c r="M39" s="115">
        <f t="shared" si="7"/>
        <v>35.92</v>
      </c>
      <c r="N39" s="114">
        <f t="shared" si="8"/>
        <v>200</v>
      </c>
      <c r="O39" s="113">
        <f>10*I39</f>
        <v>25</v>
      </c>
      <c r="P39" s="112">
        <f>9*I39</f>
        <v>22.5</v>
      </c>
      <c r="Q39" s="112">
        <f>0.5*I39</f>
        <v>1.25</v>
      </c>
      <c r="R39" s="112">
        <f>320*I39</f>
        <v>800</v>
      </c>
      <c r="T39" s="110">
        <f t="shared" si="9"/>
        <v>74.074074074074076</v>
      </c>
      <c r="U39" s="108" t="s">
        <v>300</v>
      </c>
      <c r="V39" s="105" t="s">
        <v>234</v>
      </c>
      <c r="W39" s="122" t="s">
        <v>299</v>
      </c>
      <c r="X39" s="109"/>
    </row>
    <row r="40" spans="1:24" ht="34" x14ac:dyDescent="0.2">
      <c r="A40" s="109" t="s">
        <v>407</v>
      </c>
      <c r="B40" s="105" t="s">
        <v>152</v>
      </c>
      <c r="D40" s="108" t="s">
        <v>275</v>
      </c>
      <c r="E40" s="108">
        <v>27</v>
      </c>
      <c r="F40" s="108">
        <v>1</v>
      </c>
      <c r="G40" s="108">
        <v>49.5</v>
      </c>
      <c r="H40" s="108">
        <v>180</v>
      </c>
      <c r="I40" s="108">
        <v>3</v>
      </c>
      <c r="J40" s="108">
        <f t="shared" si="6"/>
        <v>9</v>
      </c>
      <c r="K40" s="115">
        <v>32.39</v>
      </c>
      <c r="M40" s="115" t="str">
        <f t="shared" si="7"/>
        <v/>
      </c>
      <c r="N40" s="114">
        <f t="shared" si="8"/>
        <v>540</v>
      </c>
      <c r="O40" s="113">
        <f>38*I40</f>
        <v>114</v>
      </c>
      <c r="P40" s="112">
        <f>7*I40</f>
        <v>21</v>
      </c>
      <c r="Q40" s="112">
        <f>0.5*I40</f>
        <v>1.5</v>
      </c>
      <c r="R40" s="112">
        <f>710*I40</f>
        <v>2130</v>
      </c>
      <c r="T40" s="110">
        <f t="shared" si="9"/>
        <v>98.181818181818187</v>
      </c>
      <c r="U40" s="108" t="s">
        <v>268</v>
      </c>
      <c r="V40" s="105" t="s">
        <v>268</v>
      </c>
      <c r="W40" s="122" t="s">
        <v>420</v>
      </c>
      <c r="X40" s="109" t="s">
        <v>419</v>
      </c>
    </row>
    <row r="41" spans="1:24" ht="85" x14ac:dyDescent="0.2">
      <c r="A41" s="109" t="s">
        <v>298</v>
      </c>
      <c r="B41" s="105" t="s">
        <v>152</v>
      </c>
      <c r="D41" s="105" t="s">
        <v>408</v>
      </c>
      <c r="E41" s="108">
        <v>28</v>
      </c>
      <c r="F41" s="108">
        <v>0.25</v>
      </c>
      <c r="G41" s="108">
        <v>42</v>
      </c>
      <c r="H41" s="108">
        <v>200</v>
      </c>
      <c r="I41" s="108">
        <v>1</v>
      </c>
      <c r="J41" s="108">
        <f t="shared" si="6"/>
        <v>28</v>
      </c>
      <c r="K41" s="115">
        <v>12.99</v>
      </c>
      <c r="L41" s="112">
        <v>1</v>
      </c>
      <c r="M41" s="115">
        <f t="shared" si="7"/>
        <v>12.99</v>
      </c>
      <c r="N41" s="114">
        <f t="shared" si="8"/>
        <v>200</v>
      </c>
      <c r="O41" s="113">
        <f>31*I41</f>
        <v>31</v>
      </c>
      <c r="P41" s="112">
        <f>2*I41</f>
        <v>2</v>
      </c>
      <c r="Q41" s="112">
        <f>8*I41</f>
        <v>8</v>
      </c>
      <c r="R41" s="112">
        <f>30*I41</f>
        <v>30</v>
      </c>
      <c r="T41" s="110">
        <f t="shared" si="9"/>
        <v>133.33333333333334</v>
      </c>
      <c r="U41" s="108" t="s">
        <v>297</v>
      </c>
      <c r="V41" s="105" t="s">
        <v>244</v>
      </c>
      <c r="W41" s="122" t="s">
        <v>296</v>
      </c>
      <c r="X41" s="109" t="s">
        <v>295</v>
      </c>
    </row>
    <row r="42" spans="1:24" ht="136" x14ac:dyDescent="0.2">
      <c r="A42" s="109" t="s">
        <v>294</v>
      </c>
      <c r="B42" s="105" t="s">
        <v>152</v>
      </c>
      <c r="D42" s="108" t="s">
        <v>275</v>
      </c>
      <c r="E42" s="108">
        <v>9</v>
      </c>
      <c r="F42" s="108">
        <v>1.25</v>
      </c>
      <c r="G42" s="108">
        <v>20.420000000000002</v>
      </c>
      <c r="H42" s="108">
        <v>320</v>
      </c>
      <c r="I42" s="108">
        <v>3</v>
      </c>
      <c r="J42" s="108">
        <f t="shared" si="6"/>
        <v>3</v>
      </c>
      <c r="K42" s="115">
        <v>25.48</v>
      </c>
      <c r="L42" s="212">
        <v>2</v>
      </c>
      <c r="M42" s="136">
        <f t="shared" si="7"/>
        <v>50.96</v>
      </c>
      <c r="N42" s="114">
        <f t="shared" si="8"/>
        <v>960</v>
      </c>
      <c r="O42" s="113">
        <f>31*I42</f>
        <v>93</v>
      </c>
      <c r="P42" s="112">
        <f>13*I42</f>
        <v>39</v>
      </c>
      <c r="Q42" s="112">
        <f>15*I42</f>
        <v>45</v>
      </c>
      <c r="R42" s="112">
        <f>680*I42</f>
        <v>2040</v>
      </c>
      <c r="T42" s="110">
        <f t="shared" si="9"/>
        <v>141.03819784524975</v>
      </c>
      <c r="U42" s="108" t="s">
        <v>274</v>
      </c>
      <c r="V42" s="105" t="s">
        <v>234</v>
      </c>
      <c r="W42" s="122" t="s">
        <v>293</v>
      </c>
      <c r="X42" s="144" t="s">
        <v>292</v>
      </c>
    </row>
    <row r="43" spans="1:24" ht="102" x14ac:dyDescent="0.2">
      <c r="A43" s="109" t="s">
        <v>409</v>
      </c>
      <c r="B43" s="105" t="s">
        <v>152</v>
      </c>
      <c r="D43" s="108" t="s">
        <v>275</v>
      </c>
      <c r="E43" s="108">
        <v>23</v>
      </c>
      <c r="F43" s="108">
        <v>1</v>
      </c>
      <c r="G43" s="108">
        <v>36.1</v>
      </c>
      <c r="H43" s="108">
        <v>160</v>
      </c>
      <c r="I43" s="108">
        <v>3</v>
      </c>
      <c r="J43" s="143">
        <f t="shared" si="6"/>
        <v>7.666666666666667</v>
      </c>
      <c r="K43" s="115">
        <v>37.99</v>
      </c>
      <c r="L43" s="112">
        <v>1</v>
      </c>
      <c r="M43" s="115">
        <f t="shared" si="7"/>
        <v>37.99</v>
      </c>
      <c r="N43" s="114">
        <f t="shared" si="8"/>
        <v>480</v>
      </c>
      <c r="O43" s="113">
        <f>28*I43</f>
        <v>84</v>
      </c>
      <c r="P43" s="112">
        <f>10*I43</f>
        <v>30</v>
      </c>
      <c r="Q43" s="112">
        <f>1*I43</f>
        <v>3</v>
      </c>
      <c r="R43" s="112">
        <f>510*I43</f>
        <v>1530</v>
      </c>
      <c r="T43" s="110">
        <f t="shared" si="9"/>
        <v>101.93905817174515</v>
      </c>
      <c r="U43" s="108" t="s">
        <v>268</v>
      </c>
      <c r="V43" s="105" t="s">
        <v>234</v>
      </c>
      <c r="W43" s="122" t="s">
        <v>291</v>
      </c>
      <c r="X43" s="109" t="s">
        <v>421</v>
      </c>
    </row>
    <row r="44" spans="1:24" ht="51" x14ac:dyDescent="0.2">
      <c r="A44" s="109" t="s">
        <v>433</v>
      </c>
      <c r="B44" s="105" t="s">
        <v>152</v>
      </c>
      <c r="D44" s="108" t="s">
        <v>250</v>
      </c>
      <c r="E44" s="108">
        <v>2</v>
      </c>
      <c r="F44" s="108">
        <v>2</v>
      </c>
      <c r="G44" s="108">
        <v>4</v>
      </c>
      <c r="H44" s="108">
        <v>280</v>
      </c>
      <c r="I44" s="108">
        <v>1</v>
      </c>
      <c r="J44" s="112">
        <f t="shared" si="6"/>
        <v>2</v>
      </c>
      <c r="K44" s="115">
        <v>4.75</v>
      </c>
      <c r="L44" s="108">
        <v>14</v>
      </c>
      <c r="M44" s="115">
        <f t="shared" si="7"/>
        <v>66.5</v>
      </c>
      <c r="N44" s="114">
        <f t="shared" si="8"/>
        <v>280</v>
      </c>
      <c r="O44" s="113">
        <f>34*I44</f>
        <v>34</v>
      </c>
      <c r="P44" s="112">
        <f>2*I44</f>
        <v>2</v>
      </c>
      <c r="Q44" s="112">
        <f>17*I44</f>
        <v>17</v>
      </c>
      <c r="R44" s="112">
        <f>0*I44</f>
        <v>0</v>
      </c>
      <c r="T44" s="110">
        <f t="shared" si="9"/>
        <v>140</v>
      </c>
      <c r="U44" s="108" t="s">
        <v>249</v>
      </c>
      <c r="V44" s="105" t="s">
        <v>249</v>
      </c>
      <c r="W44" s="122" t="s">
        <v>434</v>
      </c>
      <c r="X44" s="109" t="s">
        <v>435</v>
      </c>
    </row>
    <row r="45" spans="1:24" s="131" customFormat="1" ht="17" x14ac:dyDescent="0.2">
      <c r="A45" s="109" t="str">
        <f>Recipes!A4</f>
        <v>Oatmeal w/ fixins (RECIPE)</v>
      </c>
      <c r="B45" s="105"/>
      <c r="C45" s="105" t="s">
        <v>152</v>
      </c>
      <c r="D45" s="108"/>
      <c r="E45" s="108"/>
      <c r="F45" s="108"/>
      <c r="G45" s="108"/>
      <c r="H45" s="108"/>
      <c r="I45" s="108"/>
      <c r="J45" s="108"/>
      <c r="K45" s="115"/>
      <c r="L45" s="108"/>
      <c r="M45" s="115" t="str">
        <f t="shared" si="7"/>
        <v/>
      </c>
      <c r="N45" s="114">
        <f ca="1">Recipes!B13</f>
        <v>466.12514414152588</v>
      </c>
      <c r="O45" s="112">
        <f ca="1">Recipes!C13</f>
        <v>86.837538672116693</v>
      </c>
      <c r="P45" s="112">
        <f ca="1">Recipes!D13</f>
        <v>18.650000000000002</v>
      </c>
      <c r="Q45" s="112">
        <f ca="1">Recipes!E13</f>
        <v>14.500001171882325</v>
      </c>
      <c r="R45" s="112">
        <f ca="1">Recipes!F13</f>
        <v>258.25000117188233</v>
      </c>
      <c r="S45" s="114">
        <f ca="1">Recipes!G13</f>
        <v>0</v>
      </c>
      <c r="T45" s="110" t="str">
        <f t="shared" si="9"/>
        <v/>
      </c>
      <c r="U45" s="108"/>
      <c r="W45" s="109"/>
      <c r="X45" s="109"/>
    </row>
    <row r="46" spans="1:24" ht="136" x14ac:dyDescent="0.2">
      <c r="A46" s="109" t="s">
        <v>290</v>
      </c>
      <c r="B46" s="105" t="s">
        <v>152</v>
      </c>
      <c r="D46" s="108" t="s">
        <v>250</v>
      </c>
      <c r="E46" s="108">
        <v>2</v>
      </c>
      <c r="F46" s="108">
        <v>0.5</v>
      </c>
      <c r="G46" s="108">
        <v>8</v>
      </c>
      <c r="H46" s="108">
        <v>440</v>
      </c>
      <c r="I46" s="108">
        <v>2</v>
      </c>
      <c r="J46" s="108">
        <f>E46/I46</f>
        <v>1</v>
      </c>
      <c r="K46" s="115">
        <v>7.5</v>
      </c>
      <c r="L46" s="108">
        <v>3</v>
      </c>
      <c r="M46" s="115">
        <f t="shared" si="7"/>
        <v>22.5</v>
      </c>
      <c r="N46" s="114">
        <f>H46*I46</f>
        <v>880</v>
      </c>
      <c r="O46" s="113">
        <f>61*I46</f>
        <v>122</v>
      </c>
      <c r="P46" s="112">
        <f>18*I46</f>
        <v>36</v>
      </c>
      <c r="Q46" s="112">
        <f>18*I46</f>
        <v>36</v>
      </c>
      <c r="R46" s="112">
        <f>460*I46</f>
        <v>920</v>
      </c>
      <c r="T46" s="110">
        <f t="shared" si="9"/>
        <v>110</v>
      </c>
      <c r="U46" s="108" t="s">
        <v>268</v>
      </c>
      <c r="V46" s="105" t="s">
        <v>234</v>
      </c>
      <c r="W46" s="122" t="s">
        <v>410</v>
      </c>
      <c r="X46" s="144" t="s">
        <v>422</v>
      </c>
    </row>
    <row r="47" spans="1:24" ht="85" x14ac:dyDescent="0.2">
      <c r="A47" s="109" t="s">
        <v>479</v>
      </c>
      <c r="D47" s="108" t="s">
        <v>399</v>
      </c>
      <c r="E47" s="108">
        <v>16</v>
      </c>
      <c r="F47" s="108">
        <v>2</v>
      </c>
      <c r="G47" s="108">
        <v>18</v>
      </c>
      <c r="H47" s="108">
        <v>200</v>
      </c>
      <c r="I47" s="108">
        <v>1.5</v>
      </c>
      <c r="J47" s="112">
        <f>E47/I47</f>
        <v>10.666666666666666</v>
      </c>
      <c r="L47" s="112">
        <v>5</v>
      </c>
      <c r="M47" s="115">
        <f t="shared" si="7"/>
        <v>0</v>
      </c>
      <c r="N47" s="114">
        <f>H47*I47</f>
        <v>300</v>
      </c>
      <c r="O47" s="113">
        <f>7*I47</f>
        <v>10.5</v>
      </c>
      <c r="P47" s="112">
        <f>7*I47</f>
        <v>10.5</v>
      </c>
      <c r="Q47" s="112">
        <f>17*I47</f>
        <v>25.5</v>
      </c>
      <c r="R47" s="112">
        <f>100*I47</f>
        <v>150</v>
      </c>
      <c r="T47" s="110">
        <f t="shared" si="9"/>
        <v>177.77777777777777</v>
      </c>
      <c r="U47" s="108" t="s">
        <v>710</v>
      </c>
      <c r="V47" s="105" t="s">
        <v>234</v>
      </c>
      <c r="X47" s="103" t="s">
        <v>718</v>
      </c>
    </row>
    <row r="48" spans="1:24" ht="119" x14ac:dyDescent="0.2">
      <c r="A48" s="109" t="s">
        <v>287</v>
      </c>
      <c r="B48" s="105" t="s">
        <v>152</v>
      </c>
      <c r="D48" s="108" t="s">
        <v>399</v>
      </c>
      <c r="E48" s="108">
        <v>57</v>
      </c>
      <c r="F48" s="108">
        <v>1</v>
      </c>
      <c r="G48" s="108">
        <v>56</v>
      </c>
      <c r="H48" s="108">
        <v>170</v>
      </c>
      <c r="I48" s="108">
        <v>2</v>
      </c>
      <c r="J48" s="108">
        <f t="shared" ref="J48:J58" si="10">E48/I48</f>
        <v>28.5</v>
      </c>
      <c r="K48" s="115">
        <v>15.67</v>
      </c>
      <c r="M48" s="115" t="str">
        <f t="shared" si="7"/>
        <v/>
      </c>
      <c r="N48" s="114">
        <f t="shared" ref="N48:N58" si="11">H48*I48</f>
        <v>340</v>
      </c>
      <c r="O48" s="113">
        <f>5*I48</f>
        <v>10</v>
      </c>
      <c r="P48" s="112">
        <f>7*I48</f>
        <v>14</v>
      </c>
      <c r="Q48" s="112">
        <f>14*I48</f>
        <v>28</v>
      </c>
      <c r="R48" s="112">
        <f>115*I48</f>
        <v>230</v>
      </c>
      <c r="T48" s="110">
        <f t="shared" si="9"/>
        <v>173.03571428571428</v>
      </c>
      <c r="U48" s="108" t="s">
        <v>286</v>
      </c>
      <c r="V48" s="105" t="s">
        <v>234</v>
      </c>
      <c r="W48" s="122" t="s">
        <v>285</v>
      </c>
    </row>
    <row r="49" spans="1:25" ht="34" x14ac:dyDescent="0.2">
      <c r="A49" s="109" t="s">
        <v>436</v>
      </c>
      <c r="B49" s="105" t="s">
        <v>152</v>
      </c>
      <c r="D49" s="108" t="s">
        <v>250</v>
      </c>
      <c r="E49" s="108">
        <v>2</v>
      </c>
      <c r="F49" s="108">
        <v>3</v>
      </c>
      <c r="G49" s="108">
        <v>6</v>
      </c>
      <c r="H49" s="108">
        <v>310</v>
      </c>
      <c r="I49" s="108">
        <v>2</v>
      </c>
      <c r="J49" s="108">
        <f t="shared" si="10"/>
        <v>1</v>
      </c>
      <c r="K49" s="115">
        <v>8.32</v>
      </c>
      <c r="L49" s="108">
        <v>2</v>
      </c>
      <c r="M49" s="115">
        <f t="shared" si="7"/>
        <v>16.64</v>
      </c>
      <c r="N49" s="114">
        <f t="shared" si="11"/>
        <v>620</v>
      </c>
      <c r="O49" s="113">
        <f>72*I49</f>
        <v>144</v>
      </c>
      <c r="P49" s="112">
        <f>14*I49</f>
        <v>28</v>
      </c>
      <c r="Q49" s="112">
        <f>3.5*I49</f>
        <v>7</v>
      </c>
      <c r="R49" s="112">
        <f>580*I49</f>
        <v>1160</v>
      </c>
      <c r="T49" s="110">
        <f t="shared" si="9"/>
        <v>103.33333333333333</v>
      </c>
      <c r="U49" s="108" t="s">
        <v>249</v>
      </c>
      <c r="V49" s="105" t="s">
        <v>249</v>
      </c>
      <c r="W49" s="122" t="s">
        <v>437</v>
      </c>
      <c r="X49" s="108" t="s">
        <v>438</v>
      </c>
    </row>
    <row r="50" spans="1:25" ht="34" x14ac:dyDescent="0.2">
      <c r="A50" s="109" t="s">
        <v>284</v>
      </c>
      <c r="B50" s="105" t="s">
        <v>152</v>
      </c>
      <c r="D50" s="108" t="s">
        <v>265</v>
      </c>
      <c r="E50" s="108">
        <v>8</v>
      </c>
      <c r="F50" s="108">
        <v>1</v>
      </c>
      <c r="G50" s="108">
        <v>14.1</v>
      </c>
      <c r="H50" s="108">
        <v>190</v>
      </c>
      <c r="I50" s="108">
        <v>2</v>
      </c>
      <c r="J50" s="108">
        <f t="shared" si="10"/>
        <v>4</v>
      </c>
      <c r="K50" s="115">
        <v>2.99</v>
      </c>
      <c r="L50" s="112">
        <v>1</v>
      </c>
      <c r="M50" s="115">
        <f t="shared" si="7"/>
        <v>2.99</v>
      </c>
      <c r="N50" s="114">
        <f t="shared" si="11"/>
        <v>380</v>
      </c>
      <c r="O50" s="113">
        <f>35*I50</f>
        <v>70</v>
      </c>
      <c r="P50" s="112">
        <f>2*I50</f>
        <v>4</v>
      </c>
      <c r="Q50" s="112">
        <f>5*I50</f>
        <v>10</v>
      </c>
      <c r="R50" s="112">
        <f>190*I50</f>
        <v>380</v>
      </c>
      <c r="T50" s="110">
        <f t="shared" si="9"/>
        <v>107.80141843971631</v>
      </c>
      <c r="U50" s="108" t="s">
        <v>282</v>
      </c>
      <c r="V50" s="105" t="s">
        <v>244</v>
      </c>
    </row>
    <row r="51" spans="1:25" ht="17" x14ac:dyDescent="0.2">
      <c r="A51" s="109" t="s">
        <v>283</v>
      </c>
      <c r="B51" s="105" t="s">
        <v>152</v>
      </c>
      <c r="D51" s="108" t="s">
        <v>265</v>
      </c>
      <c r="E51" s="108">
        <v>12</v>
      </c>
      <c r="F51" s="108">
        <v>1</v>
      </c>
      <c r="G51" s="108">
        <v>22</v>
      </c>
      <c r="H51" s="108">
        <v>200</v>
      </c>
      <c r="I51" s="108">
        <v>2</v>
      </c>
      <c r="J51" s="108">
        <f t="shared" si="10"/>
        <v>6</v>
      </c>
      <c r="K51" s="115">
        <v>3</v>
      </c>
      <c r="L51" s="112">
        <v>2</v>
      </c>
      <c r="M51" s="115">
        <f t="shared" si="7"/>
        <v>6</v>
      </c>
      <c r="N51" s="114">
        <f t="shared" si="11"/>
        <v>400</v>
      </c>
      <c r="O51" s="113">
        <f>36*I51</f>
        <v>72</v>
      </c>
      <c r="P51" s="112">
        <f>3*I51</f>
        <v>6</v>
      </c>
      <c r="Q51" s="112">
        <f>5*I51</f>
        <v>10</v>
      </c>
      <c r="R51" s="112">
        <f>210*I51</f>
        <v>420</v>
      </c>
      <c r="T51" s="110">
        <f t="shared" si="9"/>
        <v>109.09090909090909</v>
      </c>
      <c r="U51" s="108" t="s">
        <v>282</v>
      </c>
      <c r="V51" s="105" t="s">
        <v>244</v>
      </c>
    </row>
    <row r="52" spans="1:25" ht="153" x14ac:dyDescent="0.2">
      <c r="A52" s="109" t="s">
        <v>281</v>
      </c>
      <c r="B52" s="105" t="s">
        <v>152</v>
      </c>
      <c r="D52" s="108" t="s">
        <v>280</v>
      </c>
      <c r="E52" s="108">
        <v>11</v>
      </c>
      <c r="F52" s="108">
        <v>2</v>
      </c>
      <c r="G52" s="108">
        <v>16</v>
      </c>
      <c r="H52" s="108">
        <v>160</v>
      </c>
      <c r="I52" s="108">
        <v>0.5</v>
      </c>
      <c r="J52" s="108">
        <f t="shared" si="10"/>
        <v>22</v>
      </c>
      <c r="K52" s="115">
        <v>19.95</v>
      </c>
      <c r="M52" s="115" t="str">
        <f t="shared" si="7"/>
        <v/>
      </c>
      <c r="N52" s="114">
        <f t="shared" si="11"/>
        <v>80</v>
      </c>
      <c r="O52" s="113">
        <f>14*I52</f>
        <v>7</v>
      </c>
      <c r="P52" s="112">
        <f>20*I52</f>
        <v>10</v>
      </c>
      <c r="Q52" s="112">
        <f>3*I52</f>
        <v>1.5</v>
      </c>
      <c r="R52" s="112">
        <f>250*I52</f>
        <v>125</v>
      </c>
      <c r="T52" s="110">
        <f t="shared" si="9"/>
        <v>110</v>
      </c>
      <c r="U52" s="108" t="s">
        <v>279</v>
      </c>
      <c r="V52" s="105" t="s">
        <v>234</v>
      </c>
      <c r="W52" s="122" t="s">
        <v>411</v>
      </c>
    </row>
    <row r="53" spans="1:25" ht="102" x14ac:dyDescent="0.2">
      <c r="A53" s="109" t="s">
        <v>278</v>
      </c>
      <c r="B53" s="105" t="s">
        <v>152</v>
      </c>
      <c r="D53" s="108" t="s">
        <v>275</v>
      </c>
      <c r="E53" s="108">
        <v>13</v>
      </c>
      <c r="F53" s="108">
        <v>1</v>
      </c>
      <c r="G53" s="108">
        <v>20.32</v>
      </c>
      <c r="H53" s="108">
        <v>230</v>
      </c>
      <c r="I53" s="108">
        <v>2</v>
      </c>
      <c r="J53" s="108">
        <f t="shared" si="10"/>
        <v>6.5</v>
      </c>
      <c r="K53" s="115">
        <v>27.58</v>
      </c>
      <c r="M53" s="115" t="str">
        <f t="shared" si="7"/>
        <v/>
      </c>
      <c r="N53" s="114">
        <f t="shared" si="11"/>
        <v>460</v>
      </c>
      <c r="O53" s="113">
        <f>7*I53</f>
        <v>14</v>
      </c>
      <c r="P53" s="112">
        <f>16*I53</f>
        <v>32</v>
      </c>
      <c r="Q53" s="112">
        <f>14*I53</f>
        <v>28</v>
      </c>
      <c r="R53" s="112">
        <f>690*I53</f>
        <v>1380</v>
      </c>
      <c r="T53" s="110">
        <f t="shared" si="9"/>
        <v>147.14566929133858</v>
      </c>
      <c r="U53" s="108" t="s">
        <v>274</v>
      </c>
      <c r="V53" s="105" t="s">
        <v>234</v>
      </c>
      <c r="W53" s="122" t="s">
        <v>277</v>
      </c>
      <c r="X53" s="105" t="s">
        <v>412</v>
      </c>
    </row>
    <row r="54" spans="1:25" ht="119" x14ac:dyDescent="0.2">
      <c r="A54" s="109" t="s">
        <v>276</v>
      </c>
      <c r="B54" s="105" t="s">
        <v>152</v>
      </c>
      <c r="D54" s="108" t="s">
        <v>275</v>
      </c>
      <c r="E54" s="108">
        <v>15</v>
      </c>
      <c r="F54" s="141">
        <v>0.75</v>
      </c>
      <c r="G54" s="108">
        <v>19.399999999999999</v>
      </c>
      <c r="H54" s="108">
        <v>190</v>
      </c>
      <c r="I54" s="108">
        <v>2</v>
      </c>
      <c r="J54" s="108">
        <f t="shared" si="10"/>
        <v>7.5</v>
      </c>
      <c r="K54" s="115">
        <v>26.74</v>
      </c>
      <c r="M54" s="115" t="str">
        <f t="shared" si="7"/>
        <v/>
      </c>
      <c r="N54" s="114">
        <f t="shared" si="11"/>
        <v>380</v>
      </c>
      <c r="O54" s="113">
        <f>7*I54</f>
        <v>14</v>
      </c>
      <c r="P54" s="112">
        <f>15*I54</f>
        <v>30</v>
      </c>
      <c r="Q54" s="112">
        <f>11*I54</f>
        <v>22</v>
      </c>
      <c r="R54" s="112">
        <f>630*I54</f>
        <v>1260</v>
      </c>
      <c r="T54" s="110">
        <f t="shared" si="9"/>
        <v>146.90721649484536</v>
      </c>
      <c r="U54" s="108" t="s">
        <v>274</v>
      </c>
      <c r="V54" s="105" t="s">
        <v>234</v>
      </c>
      <c r="W54" s="122" t="s">
        <v>273</v>
      </c>
      <c r="X54" s="105" t="s">
        <v>413</v>
      </c>
    </row>
    <row r="55" spans="1:25" s="140" customFormat="1" ht="204" x14ac:dyDescent="0.2">
      <c r="A55" s="130" t="s">
        <v>414</v>
      </c>
      <c r="B55" s="98" t="s">
        <v>152</v>
      </c>
      <c r="C55" s="98"/>
      <c r="D55" s="131" t="s">
        <v>415</v>
      </c>
      <c r="E55" s="131">
        <v>1</v>
      </c>
      <c r="F55" s="131">
        <v>1</v>
      </c>
      <c r="G55" s="131">
        <v>1.86</v>
      </c>
      <c r="H55" s="131">
        <v>250</v>
      </c>
      <c r="I55" s="131">
        <v>1</v>
      </c>
      <c r="J55" s="108">
        <f t="shared" si="10"/>
        <v>1</v>
      </c>
      <c r="K55" s="136">
        <v>0.75</v>
      </c>
      <c r="L55" s="131">
        <v>11</v>
      </c>
      <c r="M55" s="136">
        <f t="shared" si="7"/>
        <v>8.25</v>
      </c>
      <c r="N55" s="114">
        <f t="shared" si="11"/>
        <v>250</v>
      </c>
      <c r="O55" s="113">
        <f>33*I55</f>
        <v>33</v>
      </c>
      <c r="P55" s="112">
        <f>4*I55</f>
        <v>4</v>
      </c>
      <c r="Q55" s="112">
        <f>12*I55</f>
        <v>12</v>
      </c>
      <c r="R55" s="112">
        <f>120*I55</f>
        <v>120</v>
      </c>
      <c r="S55" s="133"/>
      <c r="T55" s="132">
        <f t="shared" si="9"/>
        <v>134.40860215053763</v>
      </c>
      <c r="U55" s="131" t="s">
        <v>272</v>
      </c>
      <c r="V55" s="98" t="s">
        <v>244</v>
      </c>
      <c r="W55" s="122" t="s">
        <v>524</v>
      </c>
      <c r="X55" s="98" t="s">
        <v>416</v>
      </c>
      <c r="Y55" s="131"/>
    </row>
    <row r="56" spans="1:25" ht="51" x14ac:dyDescent="0.2">
      <c r="A56" s="109" t="s">
        <v>271</v>
      </c>
      <c r="B56" s="105" t="s">
        <v>152</v>
      </c>
      <c r="D56" s="108" t="s">
        <v>250</v>
      </c>
      <c r="E56" s="108">
        <v>2</v>
      </c>
      <c r="F56" s="108">
        <v>0.5</v>
      </c>
      <c r="G56" s="108">
        <v>8.1</v>
      </c>
      <c r="H56" s="108">
        <v>500</v>
      </c>
      <c r="I56" s="108">
        <v>2</v>
      </c>
      <c r="J56" s="108">
        <f t="shared" si="10"/>
        <v>1</v>
      </c>
      <c r="K56" s="115">
        <v>9</v>
      </c>
      <c r="L56" s="108">
        <v>7</v>
      </c>
      <c r="M56" s="115">
        <f t="shared" si="7"/>
        <v>63</v>
      </c>
      <c r="N56" s="114">
        <f t="shared" si="11"/>
        <v>1000</v>
      </c>
      <c r="O56" s="113">
        <f>56*I56</f>
        <v>112</v>
      </c>
      <c r="P56" s="112">
        <f>20*I56</f>
        <v>40</v>
      </c>
      <c r="Q56" s="112">
        <f>26*I56</f>
        <v>52</v>
      </c>
      <c r="R56" s="112">
        <f>230*I56</f>
        <v>460</v>
      </c>
      <c r="T56" s="110">
        <f t="shared" si="9"/>
        <v>123.4567901234568</v>
      </c>
      <c r="U56" s="108" t="s">
        <v>268</v>
      </c>
      <c r="V56" s="105" t="s">
        <v>268</v>
      </c>
      <c r="W56" s="122" t="s">
        <v>270</v>
      </c>
      <c r="X56" s="109" t="s">
        <v>417</v>
      </c>
    </row>
    <row r="57" spans="1:25" ht="51" x14ac:dyDescent="0.2">
      <c r="A57" s="109" t="s">
        <v>269</v>
      </c>
      <c r="B57" s="105" t="s">
        <v>152</v>
      </c>
      <c r="D57" s="108" t="s">
        <v>250</v>
      </c>
      <c r="E57" s="108">
        <v>2</v>
      </c>
      <c r="F57" s="108">
        <v>0.5</v>
      </c>
      <c r="G57" s="108">
        <v>7.1</v>
      </c>
      <c r="H57" s="108">
        <v>430</v>
      </c>
      <c r="I57" s="108">
        <v>2</v>
      </c>
      <c r="J57" s="108">
        <f t="shared" si="10"/>
        <v>1</v>
      </c>
      <c r="K57" s="115">
        <v>9</v>
      </c>
      <c r="L57" s="108">
        <v>3</v>
      </c>
      <c r="M57" s="115">
        <f t="shared" si="7"/>
        <v>27</v>
      </c>
      <c r="N57" s="114">
        <f t="shared" si="11"/>
        <v>860</v>
      </c>
      <c r="O57" s="113">
        <f>56*I57</f>
        <v>112</v>
      </c>
      <c r="P57" s="112">
        <f>19*I57</f>
        <v>38</v>
      </c>
      <c r="Q57" s="112">
        <f>14*I57</f>
        <v>28</v>
      </c>
      <c r="R57" s="112">
        <f>610*I57</f>
        <v>1220</v>
      </c>
      <c r="T57" s="110">
        <f t="shared" si="9"/>
        <v>121.12676056338029</v>
      </c>
      <c r="U57" s="108" t="s">
        <v>268</v>
      </c>
      <c r="V57" s="105" t="s">
        <v>268</v>
      </c>
      <c r="W57" s="122" t="s">
        <v>267</v>
      </c>
      <c r="X57" s="109" t="s">
        <v>423</v>
      </c>
    </row>
    <row r="58" spans="1:25" ht="51" x14ac:dyDescent="0.2">
      <c r="A58" s="109" t="s">
        <v>430</v>
      </c>
      <c r="B58" s="105" t="s">
        <v>152</v>
      </c>
      <c r="D58" s="108" t="s">
        <v>250</v>
      </c>
      <c r="E58" s="108">
        <v>3</v>
      </c>
      <c r="F58" s="108">
        <v>2</v>
      </c>
      <c r="G58" s="108">
        <v>6</v>
      </c>
      <c r="H58" s="108">
        <v>340</v>
      </c>
      <c r="I58" s="108">
        <v>1.5</v>
      </c>
      <c r="J58" s="108">
        <f t="shared" si="10"/>
        <v>2</v>
      </c>
      <c r="K58" s="115">
        <v>5.95</v>
      </c>
      <c r="L58" s="108">
        <v>16</v>
      </c>
      <c r="M58" s="115">
        <f t="shared" si="7"/>
        <v>95.2</v>
      </c>
      <c r="N58" s="114">
        <f t="shared" si="11"/>
        <v>510</v>
      </c>
      <c r="O58" s="113">
        <f>28*I58</f>
        <v>42</v>
      </c>
      <c r="P58" s="112">
        <f>7*I58</f>
        <v>10.5</v>
      </c>
      <c r="Q58" s="112">
        <f>22*I58</f>
        <v>33</v>
      </c>
      <c r="R58" s="112">
        <f>50*I58</f>
        <v>75</v>
      </c>
      <c r="T58" s="110">
        <f t="shared" si="9"/>
        <v>170</v>
      </c>
      <c r="U58" s="108" t="s">
        <v>249</v>
      </c>
      <c r="V58" s="105" t="s">
        <v>249</v>
      </c>
      <c r="W58" s="122" t="s">
        <v>431</v>
      </c>
      <c r="X58" s="109" t="s">
        <v>432</v>
      </c>
    </row>
    <row r="59" spans="1:25" ht="17" x14ac:dyDescent="0.2">
      <c r="A59" s="109" t="str">
        <f>Recipes!A22</f>
        <v>Tortilla w/ Bean &amp; Cheddar (2) (RECIPE)</v>
      </c>
      <c r="B59" s="105" t="s">
        <v>152</v>
      </c>
      <c r="C59" s="105" t="s">
        <v>152</v>
      </c>
      <c r="N59" s="114">
        <f ca="1">Recipes!B25</f>
        <v>840</v>
      </c>
      <c r="O59" s="113">
        <f ca="1">Recipes!C25</f>
        <v>102</v>
      </c>
      <c r="P59" s="112">
        <f ca="1">Recipes!D25</f>
        <v>38</v>
      </c>
      <c r="Q59" s="112">
        <f ca="1">Recipes!E25</f>
        <v>29</v>
      </c>
      <c r="R59" s="112">
        <f ca="1">Recipes!F25</f>
        <v>2280</v>
      </c>
      <c r="S59" s="111">
        <f ca="1">Recipes!G25</f>
        <v>0</v>
      </c>
      <c r="T59" s="110" t="str">
        <f t="shared" si="9"/>
        <v/>
      </c>
      <c r="V59" s="121"/>
    </row>
    <row r="60" spans="1:25" ht="34" x14ac:dyDescent="0.2">
      <c r="A60" s="109" t="str">
        <f>Recipes!A28</f>
        <v>Tortilla (2) w/ Breakfast Skillet (1.5 servings / 1.5 dry cups) (RECIPE)</v>
      </c>
      <c r="B60" s="105" t="s">
        <v>152</v>
      </c>
      <c r="C60" s="105" t="s">
        <v>152</v>
      </c>
      <c r="N60" s="114">
        <f ca="1">Recipes!B31</f>
        <v>1020</v>
      </c>
      <c r="O60" s="113">
        <f ca="1">Recipes!C31</f>
        <v>96</v>
      </c>
      <c r="P60" s="112">
        <f ca="1">Recipes!D31</f>
        <v>34</v>
      </c>
      <c r="Q60" s="112">
        <f ca="1">Recipes!E31</f>
        <v>53</v>
      </c>
      <c r="R60" s="112">
        <f ca="1">Recipes!F31</f>
        <v>2460</v>
      </c>
      <c r="S60" s="114">
        <f ca="1">Recipes!G31</f>
        <v>0</v>
      </c>
      <c r="T60" s="110">
        <f>Recipes!H31</f>
        <v>0</v>
      </c>
      <c r="U60" s="108" t="s">
        <v>513</v>
      </c>
      <c r="V60" s="105" t="s">
        <v>514</v>
      </c>
    </row>
    <row r="61" spans="1:25" ht="17" x14ac:dyDescent="0.2">
      <c r="A61" s="109" t="str">
        <f>Recipes!A47</f>
        <v>Tortilla w/ Hummus (2) (RECIPE)</v>
      </c>
      <c r="B61" s="105" t="s">
        <v>152</v>
      </c>
      <c r="C61" s="105" t="s">
        <v>152</v>
      </c>
      <c r="N61" s="114">
        <f ca="1">Recipes!B50</f>
        <v>940</v>
      </c>
      <c r="O61" s="113">
        <f ca="1">Recipes!C50</f>
        <v>96</v>
      </c>
      <c r="P61" s="112">
        <f ca="1">Recipes!D50</f>
        <v>34</v>
      </c>
      <c r="Q61" s="112">
        <f ca="1">Recipes!E50</f>
        <v>45</v>
      </c>
      <c r="R61" s="112">
        <f ca="1">Recipes!F50</f>
        <v>1180</v>
      </c>
    </row>
    <row r="62" spans="1:25" ht="17" x14ac:dyDescent="0.2">
      <c r="A62" s="109" t="str">
        <f>Recipes!A53</f>
        <v>Tortilla w/ Peanut Butter (2) (RECIPE)</v>
      </c>
      <c r="C62" s="105" t="s">
        <v>152</v>
      </c>
      <c r="N62" s="114">
        <f ca="1">Recipes!B56</f>
        <v>520</v>
      </c>
      <c r="O62" s="113">
        <f ca="1">Recipes!C56</f>
        <v>46.5</v>
      </c>
      <c r="P62" s="112">
        <f ca="1">Recipes!D56</f>
        <v>16.5</v>
      </c>
      <c r="Q62" s="112">
        <f ca="1">Recipes!E56</f>
        <v>30.5</v>
      </c>
      <c r="R62" s="112">
        <f ca="1">Recipes!F56</f>
        <v>770</v>
      </c>
      <c r="V62" s="121"/>
    </row>
    <row r="63" spans="1:25" ht="34" x14ac:dyDescent="0.2">
      <c r="A63" s="109" t="str">
        <f>Recipes!A34</f>
        <v>Tortilla (2) w/ Scrambled Eggs (and Ham, Red &amp; Green Peppers) (RECIPE)</v>
      </c>
      <c r="B63" s="105" t="s">
        <v>152</v>
      </c>
      <c r="C63" s="105" t="s">
        <v>152</v>
      </c>
      <c r="N63" s="114">
        <f ca="1">Recipes!B37</f>
        <v>600</v>
      </c>
      <c r="O63" s="113">
        <f ca="1">Recipes!C37</f>
        <v>50</v>
      </c>
      <c r="P63" s="112">
        <f ca="1">Recipes!D37</f>
        <v>36</v>
      </c>
      <c r="Q63" s="112">
        <f ca="1">Recipes!E37</f>
        <v>27</v>
      </c>
      <c r="R63" s="112">
        <f ca="1">Recipes!F37</f>
        <v>1880</v>
      </c>
      <c r="S63" s="111">
        <f ca="1">Recipes!G37</f>
        <v>0</v>
      </c>
      <c r="T63" s="110">
        <f>Recipes!H37</f>
        <v>0</v>
      </c>
      <c r="V63" s="121"/>
    </row>
    <row r="64" spans="1:25" ht="34" x14ac:dyDescent="0.2">
      <c r="A64" s="109" t="str">
        <f>Recipes!A40</f>
        <v>Tortilla w/ Tuna &amp; Guacamole (2) (RECIPE)</v>
      </c>
      <c r="B64" s="105" t="s">
        <v>152</v>
      </c>
      <c r="C64" s="105" t="s">
        <v>152</v>
      </c>
      <c r="N64" s="114">
        <f ca="1">Recipes!B44</f>
        <v>610</v>
      </c>
      <c r="O64" s="113">
        <f ca="1">Recipes!C44</f>
        <v>43</v>
      </c>
      <c r="P64" s="112">
        <f ca="1">Recipes!D44</f>
        <v>27</v>
      </c>
      <c r="Q64" s="112">
        <f ca="1">Recipes!E44</f>
        <v>40</v>
      </c>
      <c r="R64" s="112">
        <f ca="1">Recipes!F44</f>
        <v>1300</v>
      </c>
      <c r="S64" s="111">
        <f ca="1">Recipes!G44</f>
        <v>0</v>
      </c>
      <c r="V64" s="121"/>
    </row>
    <row r="65" spans="1:24" ht="17" x14ac:dyDescent="0.2">
      <c r="A65" s="109" t="s">
        <v>266</v>
      </c>
      <c r="D65" s="108" t="s">
        <v>265</v>
      </c>
      <c r="E65" s="108">
        <v>20</v>
      </c>
      <c r="F65" s="108">
        <v>1</v>
      </c>
      <c r="G65" s="108">
        <v>26</v>
      </c>
      <c r="H65" s="108">
        <v>110</v>
      </c>
      <c r="J65" s="108">
        <f>E65/2</f>
        <v>10</v>
      </c>
      <c r="K65" s="115">
        <v>1.99</v>
      </c>
      <c r="L65" s="108">
        <v>6</v>
      </c>
      <c r="M65" s="115">
        <f>IF(L65="","",(K65*L65))</f>
        <v>11.94</v>
      </c>
      <c r="N65" s="114">
        <f>H65*2</f>
        <v>220</v>
      </c>
      <c r="O65" s="113">
        <f>18*2</f>
        <v>36</v>
      </c>
      <c r="P65" s="112">
        <f>3*2</f>
        <v>6</v>
      </c>
      <c r="Q65" s="112">
        <f>2.5*2</f>
        <v>5</v>
      </c>
      <c r="R65" s="112">
        <f>310*2</f>
        <v>620</v>
      </c>
      <c r="T65" s="110">
        <f t="shared" ref="T65:T80" si="12">IF(G65="","",(E65*H65/G65))</f>
        <v>84.615384615384613</v>
      </c>
      <c r="U65" s="108" t="s">
        <v>264</v>
      </c>
      <c r="V65" s="105" t="s">
        <v>244</v>
      </c>
    </row>
    <row r="66" spans="1:24" ht="119" x14ac:dyDescent="0.2">
      <c r="A66" s="109" t="s">
        <v>427</v>
      </c>
      <c r="B66" s="105" t="s">
        <v>152</v>
      </c>
      <c r="D66" s="108" t="s">
        <v>399</v>
      </c>
      <c r="E66" s="108">
        <v>39</v>
      </c>
      <c r="F66" s="108">
        <v>3</v>
      </c>
      <c r="G66" s="108">
        <v>39</v>
      </c>
      <c r="H66" s="108">
        <v>150</v>
      </c>
      <c r="I66" s="108">
        <v>2</v>
      </c>
      <c r="J66" s="108">
        <f>E66/I66</f>
        <v>19.5</v>
      </c>
      <c r="K66" s="115">
        <v>18.989999999999998</v>
      </c>
      <c r="L66" s="112">
        <v>1</v>
      </c>
      <c r="N66" s="114">
        <f>H66*I66</f>
        <v>300</v>
      </c>
      <c r="O66" s="113">
        <f>12*I66</f>
        <v>24</v>
      </c>
      <c r="P66" s="112">
        <f>4*I66</f>
        <v>8</v>
      </c>
      <c r="Q66" s="112">
        <f>10*I66</f>
        <v>20</v>
      </c>
      <c r="R66" s="112">
        <f>60*I66</f>
        <v>120</v>
      </c>
      <c r="T66" s="110">
        <f t="shared" si="12"/>
        <v>150</v>
      </c>
      <c r="U66" s="108" t="s">
        <v>428</v>
      </c>
      <c r="V66" s="105" t="s">
        <v>234</v>
      </c>
      <c r="W66" s="122" t="s">
        <v>429</v>
      </c>
    </row>
    <row r="67" spans="1:24" ht="51" x14ac:dyDescent="0.2">
      <c r="A67" s="109" t="s">
        <v>449</v>
      </c>
      <c r="B67" s="105" t="s">
        <v>152</v>
      </c>
      <c r="D67" s="108" t="s">
        <v>250</v>
      </c>
      <c r="E67" s="108">
        <v>2</v>
      </c>
      <c r="F67" s="108">
        <v>1</v>
      </c>
      <c r="G67" s="108">
        <v>5.6</v>
      </c>
      <c r="H67" s="108">
        <v>260</v>
      </c>
      <c r="I67" s="108">
        <v>2</v>
      </c>
      <c r="J67" s="108">
        <f>E67/I67</f>
        <v>1</v>
      </c>
      <c r="K67" s="115">
        <v>5.95</v>
      </c>
      <c r="L67" s="108">
        <v>4</v>
      </c>
      <c r="N67" s="114">
        <f>H67*I67</f>
        <v>520</v>
      </c>
      <c r="O67" s="113">
        <f>52*I67</f>
        <v>104</v>
      </c>
      <c r="P67" s="112">
        <f>11*I67</f>
        <v>22</v>
      </c>
      <c r="Q67" s="112">
        <f>3*I67</f>
        <v>6</v>
      </c>
      <c r="R67" s="112">
        <f>680*I67</f>
        <v>1360</v>
      </c>
      <c r="T67" s="110">
        <f t="shared" si="12"/>
        <v>92.857142857142861</v>
      </c>
      <c r="U67" s="108" t="s">
        <v>249</v>
      </c>
      <c r="V67" s="105" t="s">
        <v>249</v>
      </c>
      <c r="W67" s="122" t="s">
        <v>450</v>
      </c>
      <c r="X67" s="108" t="s">
        <v>451</v>
      </c>
    </row>
    <row r="68" spans="1:24" s="140" customFormat="1" ht="17" x14ac:dyDescent="0.2">
      <c r="A68" s="109" t="s">
        <v>263</v>
      </c>
      <c r="B68" s="105"/>
      <c r="C68" s="105"/>
      <c r="D68" s="108"/>
      <c r="E68" s="108">
        <v>1</v>
      </c>
      <c r="F68" s="108">
        <v>1</v>
      </c>
      <c r="G68" s="139">
        <v>0.211644</v>
      </c>
      <c r="H68" s="112">
        <f>529/16</f>
        <v>33.0625</v>
      </c>
      <c r="I68" s="112"/>
      <c r="J68" s="108"/>
      <c r="K68" s="115"/>
      <c r="L68" s="108"/>
      <c r="M68" s="115"/>
      <c r="N68" s="114">
        <f>H68</f>
        <v>33.0625</v>
      </c>
      <c r="O68" s="113">
        <f>20/16</f>
        <v>1.25</v>
      </c>
      <c r="P68" s="112">
        <f>20/16</f>
        <v>1.25</v>
      </c>
      <c r="Q68" s="112">
        <f>45/16</f>
        <v>2.8125</v>
      </c>
      <c r="R68" s="112">
        <f>1/16</f>
        <v>6.25E-2</v>
      </c>
      <c r="S68" s="111"/>
      <c r="T68" s="110">
        <f t="shared" si="12"/>
        <v>156.21751620645992</v>
      </c>
      <c r="U68" s="108"/>
      <c r="V68" s="105"/>
      <c r="W68" s="109"/>
    </row>
    <row r="69" spans="1:24" ht="102" x14ac:dyDescent="0.2">
      <c r="A69" s="109" t="s">
        <v>262</v>
      </c>
      <c r="B69" s="105" t="s">
        <v>152</v>
      </c>
      <c r="D69" s="108" t="s">
        <v>250</v>
      </c>
      <c r="E69" s="108">
        <v>2</v>
      </c>
      <c r="F69" s="108">
        <v>2.5</v>
      </c>
      <c r="G69" s="108">
        <v>5</v>
      </c>
      <c r="H69" s="108">
        <v>310</v>
      </c>
      <c r="I69" s="108">
        <v>2</v>
      </c>
      <c r="J69" s="108">
        <f>E69/I69</f>
        <v>1</v>
      </c>
      <c r="K69" s="115">
        <v>4.95</v>
      </c>
      <c r="N69" s="114">
        <f>H69*I69</f>
        <v>620</v>
      </c>
      <c r="O69" s="113">
        <f>33*I69</f>
        <v>66</v>
      </c>
      <c r="P69" s="112">
        <f>16*I69</f>
        <v>32</v>
      </c>
      <c r="Q69" s="112">
        <f>12*I69</f>
        <v>24</v>
      </c>
      <c r="R69" s="112">
        <f>830*I69</f>
        <v>1660</v>
      </c>
      <c r="T69" s="110">
        <f t="shared" si="12"/>
        <v>124</v>
      </c>
      <c r="U69" s="108" t="s">
        <v>249</v>
      </c>
      <c r="V69" s="105" t="s">
        <v>249</v>
      </c>
      <c r="W69" s="122" t="s">
        <v>261</v>
      </c>
      <c r="X69" s="109" t="s">
        <v>424</v>
      </c>
    </row>
    <row r="70" spans="1:24" ht="17" x14ac:dyDescent="0.2">
      <c r="A70" s="109" t="s">
        <v>260</v>
      </c>
      <c r="E70" s="108">
        <v>1</v>
      </c>
      <c r="F70" s="108">
        <v>1</v>
      </c>
      <c r="G70" s="139">
        <v>0.141096</v>
      </c>
      <c r="H70" s="108">
        <f>15*3</f>
        <v>45</v>
      </c>
      <c r="M70" s="115" t="str">
        <f>IF(L70="","",(K70*L70))</f>
        <v/>
      </c>
      <c r="N70" s="114">
        <f>H70</f>
        <v>45</v>
      </c>
      <c r="O70" s="113">
        <f>4*3</f>
        <v>12</v>
      </c>
      <c r="P70" s="112">
        <f>0*3</f>
        <v>0</v>
      </c>
      <c r="Q70" s="112">
        <f>0*3</f>
        <v>0</v>
      </c>
      <c r="R70" s="112">
        <f>0*3</f>
        <v>0</v>
      </c>
      <c r="T70" s="110">
        <f t="shared" si="12"/>
        <v>318.93179112093895</v>
      </c>
      <c r="U70" s="108" t="s">
        <v>259</v>
      </c>
      <c r="V70" s="105" t="s">
        <v>244</v>
      </c>
    </row>
    <row r="71" spans="1:24" ht="34" x14ac:dyDescent="0.2">
      <c r="A71" s="109" t="s">
        <v>258</v>
      </c>
      <c r="D71" s="108" t="s">
        <v>257</v>
      </c>
      <c r="E71" s="108">
        <v>24</v>
      </c>
      <c r="F71" s="108">
        <v>1</v>
      </c>
      <c r="G71" s="112">
        <v>12</v>
      </c>
      <c r="H71" s="108">
        <v>70</v>
      </c>
      <c r="J71" s="108">
        <v>24</v>
      </c>
      <c r="M71" s="115" t="str">
        <f>IF(L71="","",(K71*L71))</f>
        <v/>
      </c>
      <c r="N71" s="114">
        <f>H71</f>
        <v>70</v>
      </c>
      <c r="O71" s="113">
        <v>9</v>
      </c>
      <c r="P71" s="112">
        <v>0.5</v>
      </c>
      <c r="Q71" s="112">
        <v>4</v>
      </c>
      <c r="R71" s="112">
        <v>0</v>
      </c>
      <c r="T71" s="110">
        <f t="shared" si="12"/>
        <v>140</v>
      </c>
      <c r="U71" s="108" t="s">
        <v>256</v>
      </c>
    </row>
    <row r="72" spans="1:24" ht="17" x14ac:dyDescent="0.2">
      <c r="A72" s="109" t="s">
        <v>255</v>
      </c>
      <c r="M72" s="115" t="str">
        <f>IF(L72="","",(K72*L72))</f>
        <v/>
      </c>
      <c r="N72" s="114">
        <v>6</v>
      </c>
      <c r="O72" s="113">
        <v>2.1</v>
      </c>
      <c r="P72" s="112">
        <v>0.1</v>
      </c>
      <c r="Q72" s="112">
        <v>0</v>
      </c>
      <c r="R72" s="112">
        <v>0</v>
      </c>
      <c r="T72" s="110" t="str">
        <f t="shared" si="12"/>
        <v/>
      </c>
    </row>
    <row r="73" spans="1:24" ht="17" x14ac:dyDescent="0.2">
      <c r="A73" s="109" t="s">
        <v>254</v>
      </c>
      <c r="E73" s="108">
        <v>1</v>
      </c>
      <c r="F73" s="108">
        <v>0.33333333333332998</v>
      </c>
      <c r="G73" s="108">
        <v>1.41096</v>
      </c>
      <c r="H73" s="108">
        <v>123</v>
      </c>
      <c r="M73" s="115" t="str">
        <f>IF(L73="","",(K73*L73))</f>
        <v/>
      </c>
      <c r="N73" s="114">
        <f>123/5.3333</f>
        <v>23.062644141525883</v>
      </c>
      <c r="O73" s="138">
        <f>33/5.3333</f>
        <v>6.1875386721167001</v>
      </c>
      <c r="P73" s="137">
        <v>0</v>
      </c>
      <c r="Q73" s="137">
        <f>1/5.3333</f>
        <v>0.18750117188232426</v>
      </c>
      <c r="R73" s="137">
        <f>1/5.3333</f>
        <v>0.18750117188232426</v>
      </c>
      <c r="T73" s="110">
        <f t="shared" si="12"/>
        <v>87.174689573056639</v>
      </c>
    </row>
    <row r="74" spans="1:24" ht="102" x14ac:dyDescent="0.2">
      <c r="A74" s="109" t="s">
        <v>253</v>
      </c>
      <c r="B74" s="105" t="s">
        <v>152</v>
      </c>
      <c r="D74" s="108" t="s">
        <v>250</v>
      </c>
      <c r="E74" s="108">
        <v>2</v>
      </c>
      <c r="F74" s="108">
        <v>1</v>
      </c>
      <c r="G74" s="108">
        <v>2</v>
      </c>
      <c r="H74" s="108">
        <v>150</v>
      </c>
      <c r="I74" s="108">
        <v>2</v>
      </c>
      <c r="J74" s="108">
        <f>E74/I74</f>
        <v>1</v>
      </c>
      <c r="K74" s="115">
        <v>8.9499999999999993</v>
      </c>
      <c r="N74" s="114">
        <f>H74*I74</f>
        <v>300</v>
      </c>
      <c r="O74" s="113">
        <f>3*I74</f>
        <v>6</v>
      </c>
      <c r="P74" s="112">
        <f>2*I74</f>
        <v>4</v>
      </c>
      <c r="Q74" s="112">
        <f>17*I74</f>
        <v>34</v>
      </c>
      <c r="R74" s="112">
        <f>170*I74</f>
        <v>340</v>
      </c>
      <c r="T74" s="110">
        <f t="shared" si="12"/>
        <v>150</v>
      </c>
      <c r="U74" s="108" t="s">
        <v>249</v>
      </c>
      <c r="V74" s="105" t="s">
        <v>249</v>
      </c>
      <c r="W74" s="122" t="s">
        <v>252</v>
      </c>
      <c r="X74" s="109" t="s">
        <v>425</v>
      </c>
    </row>
    <row r="75" spans="1:24" ht="102" x14ac:dyDescent="0.2">
      <c r="A75" s="109" t="s">
        <v>251</v>
      </c>
      <c r="B75" s="105" t="s">
        <v>152</v>
      </c>
      <c r="D75" s="108" t="s">
        <v>250</v>
      </c>
      <c r="E75" s="108">
        <v>2</v>
      </c>
      <c r="F75" s="108">
        <v>2.5</v>
      </c>
      <c r="G75" s="108">
        <v>5</v>
      </c>
      <c r="H75" s="108">
        <v>360</v>
      </c>
      <c r="I75" s="108">
        <v>2</v>
      </c>
      <c r="J75" s="108">
        <f>E75/I75</f>
        <v>1</v>
      </c>
      <c r="K75" s="115">
        <v>4.95</v>
      </c>
      <c r="M75" s="115" t="str">
        <f t="shared" ref="M75:M80" si="13">IF(L75="","",(K75*L75))</f>
        <v/>
      </c>
      <c r="N75" s="114">
        <f>H75*I75</f>
        <v>720</v>
      </c>
      <c r="O75" s="113">
        <f>30*I75</f>
        <v>60</v>
      </c>
      <c r="P75" s="112">
        <f>14*I75</f>
        <v>28</v>
      </c>
      <c r="Q75" s="112">
        <f>20*I75</f>
        <v>40</v>
      </c>
      <c r="R75" s="112">
        <f>280*I75</f>
        <v>560</v>
      </c>
      <c r="T75" s="110">
        <f t="shared" si="12"/>
        <v>144</v>
      </c>
      <c r="U75" s="108" t="s">
        <v>249</v>
      </c>
      <c r="V75" s="105" t="s">
        <v>249</v>
      </c>
      <c r="W75" s="122" t="s">
        <v>248</v>
      </c>
      <c r="X75" s="109" t="s">
        <v>426</v>
      </c>
    </row>
    <row r="76" spans="1:24" ht="34" x14ac:dyDescent="0.2">
      <c r="A76" s="130" t="s">
        <v>247</v>
      </c>
      <c r="B76" s="98"/>
      <c r="C76" s="98"/>
      <c r="D76" s="131" t="s">
        <v>246</v>
      </c>
      <c r="E76" s="131">
        <v>12</v>
      </c>
      <c r="F76" s="131">
        <v>1</v>
      </c>
      <c r="G76" s="131">
        <v>11.8</v>
      </c>
      <c r="H76" s="131">
        <v>100</v>
      </c>
      <c r="I76" s="131"/>
      <c r="J76" s="131">
        <f>E76/2</f>
        <v>6</v>
      </c>
      <c r="K76" s="136"/>
      <c r="L76" s="131"/>
      <c r="M76" s="136" t="str">
        <f t="shared" si="13"/>
        <v/>
      </c>
      <c r="N76" s="135">
        <f>H76*2</f>
        <v>200</v>
      </c>
      <c r="O76" s="134">
        <f>19*2</f>
        <v>38</v>
      </c>
      <c r="P76" s="134">
        <f>4*2</f>
        <v>8</v>
      </c>
      <c r="Q76" s="134">
        <f>2*2</f>
        <v>4</v>
      </c>
      <c r="R76" s="134">
        <f>75*2</f>
        <v>150</v>
      </c>
      <c r="S76" s="133"/>
      <c r="T76" s="132">
        <f t="shared" si="12"/>
        <v>101.69491525423729</v>
      </c>
      <c r="U76" s="131" t="s">
        <v>245</v>
      </c>
      <c r="V76" s="98" t="s">
        <v>244</v>
      </c>
      <c r="W76" s="130"/>
    </row>
    <row r="77" spans="1:24" ht="102" x14ac:dyDescent="0.2">
      <c r="A77" s="109" t="s">
        <v>243</v>
      </c>
      <c r="B77" s="105" t="s">
        <v>152</v>
      </c>
      <c r="D77" s="108" t="s">
        <v>399</v>
      </c>
      <c r="E77" s="108">
        <v>34</v>
      </c>
      <c r="F77" s="108">
        <v>2</v>
      </c>
      <c r="G77" s="108">
        <v>16</v>
      </c>
      <c r="H77" s="108">
        <v>80</v>
      </c>
      <c r="I77" s="108">
        <v>1.5</v>
      </c>
      <c r="J77" s="139">
        <f>E77/I77</f>
        <v>22.666666666666668</v>
      </c>
      <c r="K77" s="115">
        <v>11.99</v>
      </c>
      <c r="L77" s="108">
        <v>1</v>
      </c>
      <c r="M77" s="115">
        <f t="shared" si="13"/>
        <v>11.99</v>
      </c>
      <c r="N77" s="114">
        <f>H77*I77</f>
        <v>120</v>
      </c>
      <c r="O77" s="113">
        <f>12*I77</f>
        <v>18</v>
      </c>
      <c r="P77" s="112">
        <f>6*I77</f>
        <v>9</v>
      </c>
      <c r="Q77" s="112">
        <f>5*I77</f>
        <v>7.5</v>
      </c>
      <c r="R77" s="112">
        <f>70*I77</f>
        <v>105</v>
      </c>
      <c r="T77" s="110">
        <f t="shared" si="12"/>
        <v>170</v>
      </c>
      <c r="U77" s="108" t="s">
        <v>242</v>
      </c>
      <c r="V77" s="105" t="s">
        <v>234</v>
      </c>
      <c r="W77" s="122" t="s">
        <v>241</v>
      </c>
      <c r="X77" s="109"/>
    </row>
    <row r="78" spans="1:24" ht="17" x14ac:dyDescent="0.2">
      <c r="A78" s="123" t="s">
        <v>240</v>
      </c>
      <c r="B78" s="129"/>
      <c r="C78" s="129"/>
      <c r="D78" s="124"/>
      <c r="E78" s="124"/>
      <c r="F78" s="124"/>
      <c r="G78" s="124"/>
      <c r="H78" s="124"/>
      <c r="I78" s="124"/>
      <c r="J78" s="124"/>
      <c r="K78" s="128"/>
      <c r="L78" s="124"/>
      <c r="M78" s="115" t="str">
        <f t="shared" si="13"/>
        <v/>
      </c>
      <c r="N78" s="127">
        <v>39</v>
      </c>
      <c r="O78" s="126">
        <v>9.3000000000000007</v>
      </c>
      <c r="P78" s="126">
        <v>0.30000000000000004</v>
      </c>
      <c r="Q78" s="126">
        <v>0</v>
      </c>
      <c r="R78" s="126">
        <v>3</v>
      </c>
      <c r="S78" s="125"/>
      <c r="T78" s="110" t="str">
        <f t="shared" si="12"/>
        <v/>
      </c>
      <c r="U78" s="124"/>
      <c r="W78" s="123"/>
      <c r="X78" s="123"/>
    </row>
    <row r="79" spans="1:24" ht="119" x14ac:dyDescent="0.2">
      <c r="A79" s="109" t="s">
        <v>400</v>
      </c>
      <c r="B79" s="105" t="s">
        <v>152</v>
      </c>
      <c r="D79" s="108" t="s">
        <v>246</v>
      </c>
      <c r="E79" s="108">
        <v>24</v>
      </c>
      <c r="F79" s="108">
        <v>1</v>
      </c>
      <c r="G79" s="108">
        <f>1.4*2</f>
        <v>2.8</v>
      </c>
      <c r="H79" s="108">
        <v>2</v>
      </c>
      <c r="I79" s="108">
        <v>1</v>
      </c>
      <c r="J79" s="112">
        <f>E79/I79</f>
        <v>24</v>
      </c>
      <c r="K79" s="115">
        <v>22.99</v>
      </c>
      <c r="L79" s="112">
        <v>1</v>
      </c>
      <c r="M79" s="115">
        <f t="shared" si="13"/>
        <v>22.99</v>
      </c>
      <c r="N79" s="114">
        <f>H79*I79</f>
        <v>2</v>
      </c>
      <c r="O79" s="113">
        <f>0*I79</f>
        <v>0</v>
      </c>
      <c r="P79" s="112">
        <f>0*I79</f>
        <v>0</v>
      </c>
      <c r="Q79" s="112">
        <f>0*I79</f>
        <v>0</v>
      </c>
      <c r="R79" s="112">
        <f>0*I79</f>
        <v>0</v>
      </c>
      <c r="T79" s="110">
        <f t="shared" si="12"/>
        <v>17.142857142857142</v>
      </c>
      <c r="U79" s="108" t="s">
        <v>239</v>
      </c>
      <c r="V79" s="105" t="s">
        <v>234</v>
      </c>
      <c r="W79" s="122" t="s">
        <v>238</v>
      </c>
      <c r="X79" s="109"/>
    </row>
    <row r="80" spans="1:24" ht="119" x14ac:dyDescent="0.2">
      <c r="A80" s="109" t="s">
        <v>237</v>
      </c>
      <c r="B80" s="105" t="s">
        <v>152</v>
      </c>
      <c r="D80" s="108" t="s">
        <v>236</v>
      </c>
      <c r="E80" s="108">
        <v>4</v>
      </c>
      <c r="F80" s="108">
        <v>1</v>
      </c>
      <c r="G80" s="108">
        <f>2.6*4</f>
        <v>10.4</v>
      </c>
      <c r="H80" s="108">
        <v>90</v>
      </c>
      <c r="I80" s="108">
        <v>1</v>
      </c>
      <c r="J80" s="108">
        <v>4</v>
      </c>
      <c r="K80" s="115">
        <v>3.98</v>
      </c>
      <c r="M80" s="115" t="str">
        <f t="shared" si="13"/>
        <v/>
      </c>
      <c r="N80" s="114">
        <f>H80*I80</f>
        <v>90</v>
      </c>
      <c r="O80" s="113">
        <f>1*I80</f>
        <v>1</v>
      </c>
      <c r="P80" s="112">
        <f>17*I80</f>
        <v>17</v>
      </c>
      <c r="Q80" s="112">
        <f>1*I80</f>
        <v>1</v>
      </c>
      <c r="R80" s="112">
        <f>340*I80</f>
        <v>340</v>
      </c>
      <c r="T80" s="110">
        <f t="shared" si="12"/>
        <v>34.615384615384613</v>
      </c>
      <c r="U80" s="108" t="s">
        <v>235</v>
      </c>
      <c r="V80" s="105" t="s">
        <v>234</v>
      </c>
      <c r="W80" s="122" t="s">
        <v>233</v>
      </c>
      <c r="X80" s="109"/>
    </row>
    <row r="81" spans="1:23" x14ac:dyDescent="0.2">
      <c r="V81" s="121"/>
    </row>
    <row r="82" spans="1:23" x14ac:dyDescent="0.2">
      <c r="D82" s="105"/>
    </row>
    <row r="84" spans="1:23" ht="85" x14ac:dyDescent="0.2">
      <c r="A84" s="120" t="s">
        <v>232</v>
      </c>
      <c r="B84" s="158"/>
    </row>
    <row r="85" spans="1:23" x14ac:dyDescent="0.2">
      <c r="A85" s="120"/>
      <c r="B85" s="158"/>
    </row>
    <row r="86" spans="1:23" ht="68" x14ac:dyDescent="0.2">
      <c r="A86" s="120" t="s">
        <v>385</v>
      </c>
      <c r="B86" s="158"/>
    </row>
    <row r="87" spans="1:23" x14ac:dyDescent="0.2">
      <c r="A87" s="120"/>
      <c r="B87" s="158"/>
    </row>
    <row r="88" spans="1:23" ht="136" x14ac:dyDescent="0.2">
      <c r="A88" s="120" t="s">
        <v>386</v>
      </c>
      <c r="B88" s="158"/>
    </row>
    <row r="90" spans="1:23" ht="34" x14ac:dyDescent="0.2">
      <c r="A90" s="120" t="s">
        <v>231</v>
      </c>
      <c r="B90" s="158"/>
    </row>
    <row r="91" spans="1:23" s="116" customFormat="1" x14ac:dyDescent="0.2">
      <c r="A91" s="117">
        <v>1</v>
      </c>
      <c r="B91" s="118"/>
      <c r="C91" s="118"/>
      <c r="D91" s="118"/>
      <c r="E91" s="118"/>
      <c r="F91" s="118"/>
      <c r="G91" s="118"/>
      <c r="H91" s="118"/>
      <c r="I91" s="118"/>
      <c r="J91" s="118"/>
      <c r="K91" s="118"/>
      <c r="L91" s="118"/>
      <c r="M91" s="118"/>
      <c r="N91" s="119">
        <f t="shared" ref="N91:T91" ca="1" si="14">CELL("col",N91)</f>
        <v>14</v>
      </c>
      <c r="O91" s="119">
        <f t="shared" ca="1" si="14"/>
        <v>15</v>
      </c>
      <c r="P91" s="119">
        <f t="shared" ca="1" si="14"/>
        <v>16</v>
      </c>
      <c r="Q91" s="119">
        <f t="shared" ca="1" si="14"/>
        <v>17</v>
      </c>
      <c r="R91" s="119">
        <f t="shared" ca="1" si="14"/>
        <v>18</v>
      </c>
      <c r="S91" s="119">
        <f t="shared" ca="1" si="14"/>
        <v>19</v>
      </c>
      <c r="T91" s="119">
        <f t="shared" ca="1" si="14"/>
        <v>20</v>
      </c>
      <c r="V91" s="118"/>
      <c r="W91" s="117"/>
    </row>
  </sheetData>
  <sortState ref="A3:Y80">
    <sortCondition ref="A3:A80"/>
  </sortState>
  <mergeCells count="1">
    <mergeCell ref="A1:Y1"/>
  </mergeCells>
  <hyperlinks>
    <hyperlink ref="W54" r:id="rId1" xr:uid="{00000000-0004-0000-0600-000000000000}"/>
    <hyperlink ref="W29" r:id="rId2" xr:uid="{00000000-0004-0000-0600-000001000000}"/>
    <hyperlink ref="W53" r:id="rId3" xr:uid="{00000000-0004-0000-0600-000005000000}"/>
    <hyperlink ref="W15" r:id="rId4" xr:uid="{00000000-0004-0000-0600-000007000000}"/>
    <hyperlink ref="W3" r:id="rId5" xr:uid="{00000000-0004-0000-0600-00000A000000}"/>
    <hyperlink ref="W34" r:id="rId6" xr:uid="{00000000-0004-0000-0600-00000C000000}"/>
    <hyperlink ref="W28" r:id="rId7" xr:uid="{00000000-0004-0000-0600-00000D000000}"/>
    <hyperlink ref="W35" r:id="rId8" xr:uid="{00000000-0004-0000-0600-00000E000000}"/>
    <hyperlink ref="W36" r:id="rId9" xr:uid="{00000000-0004-0000-0600-00000F000000}"/>
    <hyperlink ref="W43" r:id="rId10" xr:uid="{00000000-0004-0000-0600-000011000000}"/>
    <hyperlink ref="W24" r:id="rId11" xr:uid="{00000000-0004-0000-0600-000012000000}"/>
    <hyperlink ref="W57" r:id="rId12" xr:uid="{00000000-0004-0000-0600-000013000000}"/>
    <hyperlink ref="W56" r:id="rId13" xr:uid="{00000000-0004-0000-0600-000015000000}"/>
    <hyperlink ref="W23" r:id="rId14" xr:uid="{00000000-0004-0000-0600-000017000000}"/>
    <hyperlink ref="W11" r:id="rId15" xr:uid="{00000000-0004-0000-0600-000018000000}"/>
    <hyperlink ref="W4" r:id="rId16" xr:uid="{00000000-0004-0000-0600-000019000000}"/>
    <hyperlink ref="W19" r:id="rId17" xr:uid="{00000000-0004-0000-0600-00001B000000}"/>
    <hyperlink ref="W21" r:id="rId18" xr:uid="{00000000-0004-0000-0600-00001E000000}"/>
    <hyperlink ref="W75" r:id="rId19" xr:uid="{00000000-0004-0000-0600-00001F000000}"/>
    <hyperlink ref="W74" r:id="rId20" xr:uid="{00000000-0004-0000-0600-000020000000}"/>
    <hyperlink ref="W30" r:id="rId21" xr:uid="{00000000-0004-0000-0600-000022000000}"/>
    <hyperlink ref="W48" r:id="rId22" xr:uid="{00000000-0004-0000-0600-000024000000}"/>
    <hyperlink ref="W77" r:id="rId23" xr:uid="{00000000-0004-0000-0600-000026000000}"/>
    <hyperlink ref="W79" r:id="rId24" xr:uid="{00000000-0004-0000-0600-000028000000}"/>
    <hyperlink ref="W80" r:id="rId25" xr:uid="{00000000-0004-0000-0600-000029000000}"/>
    <hyperlink ref="W37" r:id="rId26" xr:uid="{00000000-0004-0000-0600-00002A000000}"/>
    <hyperlink ref="W38" r:id="rId27" xr:uid="{00000000-0004-0000-0600-00002B000000}"/>
    <hyperlink ref="W39" r:id="rId28" xr:uid="{00000000-0004-0000-0600-00002C000000}"/>
    <hyperlink ref="W5" r:id="rId29" xr:uid="{00000000-0004-0000-0600-00002D000000}"/>
    <hyperlink ref="W25" r:id="rId30" xr:uid="{00000000-0004-0000-0600-00002E000000}"/>
    <hyperlink ref="W26" r:id="rId31" xr:uid="{00000000-0004-0000-0600-00002F000000}"/>
    <hyperlink ref="W41" r:id="rId32" xr:uid="{00000000-0004-0000-0600-000030000000}"/>
    <hyperlink ref="X3" r:id="rId33" xr:uid="{A40DD73B-5ABC-5B4E-A7FD-49FD4387100E}"/>
    <hyperlink ref="W6" r:id="rId34" xr:uid="{76CE0C03-1889-854E-AE3C-3454C363A00A}"/>
    <hyperlink ref="W13" r:id="rId35" xr:uid="{41C01174-6609-5D4A-960C-25F5F41B23BA}"/>
    <hyperlink ref="W17" r:id="rId36" xr:uid="{31EF0ACA-C9DB-234C-8E25-043410CC042D}"/>
    <hyperlink ref="W20" r:id="rId37" xr:uid="{13410195-8EC9-3148-AFBC-C163ACDD4408}"/>
    <hyperlink ref="W42" r:id="rId38" xr:uid="{2EB13A54-3130-FE4B-A9A5-E7D16677C6AB}"/>
    <hyperlink ref="W46" r:id="rId39" xr:uid="{137370AB-F326-3E44-971B-E18206C4852D}"/>
    <hyperlink ref="W52" r:id="rId40" xr:uid="{03AB5A7E-63C0-E84D-A189-2A87199118F5}"/>
    <hyperlink ref="W40" r:id="rId41" xr:uid="{9C4D2B66-DB29-374C-90FE-AB8C7D3FD5B9}"/>
    <hyperlink ref="W69" r:id="rId42" xr:uid="{63B73E51-3E5C-A540-8E34-FE4AED3A1A0B}"/>
    <hyperlink ref="W66" r:id="rId43" xr:uid="{97A25637-DA41-4644-8BBE-7C77BB2E2790}"/>
    <hyperlink ref="W58" r:id="rId44" xr:uid="{3B4EF30B-1331-C545-A0D8-ED1D45FF7875}"/>
    <hyperlink ref="W16" r:id="rId45" xr:uid="{CC4E9F62-9636-1D45-8147-E5D6A754F1A9}"/>
    <hyperlink ref="W18" r:id="rId46" xr:uid="{0DC56C90-CE2F-EF49-B25A-CD491514D1EC}"/>
    <hyperlink ref="W27" r:id="rId47" xr:uid="{D0439101-5D12-A947-AEEE-2A97D11AA275}"/>
    <hyperlink ref="W12" r:id="rId48" xr:uid="{F4A9F9A4-BC79-E847-A823-749D7A70B92E}"/>
    <hyperlink ref="W55" r:id="rId49" xr:uid="{1A4AA787-ECB9-854E-B325-975540962138}"/>
    <hyperlink ref="W9" r:id="rId50" xr:uid="{8F48D13D-3584-FA46-BB35-3DC064C62FE4}"/>
    <hyperlink ref="W14" r:id="rId51" xr:uid="{DA49F157-9C45-2349-BD5F-CA5065E49880}"/>
    <hyperlink ref="W33" r:id="rId52" xr:uid="{8A689D5E-4BB3-A649-95E9-BBF5E8D54E49}"/>
  </hyperlinks>
  <printOptions gridLines="1"/>
  <pageMargins left="0.75" right="0.75" top="1" bottom="1" header="0.5" footer="0.5"/>
  <pageSetup scale="20" fitToHeight="2" orientation="portrait" horizontalDpi="4294967292" verticalDpi="4294967292"/>
  <headerFooter>
    <oddHeader>&amp;C&amp;"Lucida Grande,Regular"&amp;K000000ThriveLife Order</oddHeader>
  </headerFooter>
  <legacyDrawing r:id="rId5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B011-93B4-8F47-8C31-CC1D853948DC}">
  <sheetPr>
    <pageSetUpPr fitToPage="1"/>
  </sheetPr>
  <dimension ref="A1:Q78"/>
  <sheetViews>
    <sheetView workbookViewId="0">
      <pane ySplit="2" topLeftCell="A3" activePane="bottomLeft" state="frozen"/>
      <selection pane="bottomLeft" sqref="A1:Q1"/>
    </sheetView>
  </sheetViews>
  <sheetFormatPr baseColWidth="10" defaultColWidth="93" defaultRowHeight="16" outlineLevelRow="2" x14ac:dyDescent="0.2"/>
  <cols>
    <col min="1" max="2" width="19.6640625" style="178" bestFit="1" customWidth="1"/>
    <col min="3" max="3" width="43.6640625" style="178" customWidth="1"/>
    <col min="4" max="4" width="12.5" style="178" customWidth="1"/>
    <col min="5" max="5" width="7.33203125" style="224" bestFit="1" customWidth="1"/>
    <col min="6" max="6" width="11.1640625" style="220" bestFit="1" customWidth="1"/>
    <col min="7" max="7" width="13.1640625" style="178" customWidth="1"/>
    <col min="8" max="8" width="21" style="178" customWidth="1"/>
    <col min="9" max="9" width="10.5" style="178" customWidth="1"/>
    <col min="10" max="10" width="15.6640625" style="178" customWidth="1"/>
    <col min="11" max="11" width="16.5" style="178" customWidth="1"/>
    <col min="12" max="12" width="13.1640625" style="178" customWidth="1"/>
    <col min="13" max="13" width="10" style="178" customWidth="1"/>
    <col min="14" max="14" width="10.5" style="178" customWidth="1"/>
    <col min="15" max="15" width="46.83203125" style="178" customWidth="1"/>
    <col min="16" max="16" width="48.83203125" style="178" customWidth="1"/>
    <col min="17" max="17" width="13.6640625" style="178" bestFit="1" customWidth="1"/>
    <col min="18" max="16384" width="93" style="178"/>
  </cols>
  <sheetData>
    <row r="1" spans="1:17" ht="92" customHeight="1" x14ac:dyDescent="0.2">
      <c r="A1" s="448" t="s">
        <v>745</v>
      </c>
      <c r="B1" s="448"/>
      <c r="C1" s="448"/>
      <c r="D1" s="448"/>
      <c r="E1" s="448"/>
      <c r="F1" s="448"/>
      <c r="G1" s="448"/>
      <c r="H1" s="448"/>
      <c r="I1" s="448"/>
      <c r="J1" s="448"/>
      <c r="K1" s="448"/>
      <c r="L1" s="448"/>
      <c r="M1" s="448"/>
      <c r="N1" s="448"/>
      <c r="O1" s="448"/>
      <c r="P1" s="448"/>
      <c r="Q1" s="448"/>
    </row>
    <row r="2" spans="1:17" s="216" customFormat="1" ht="64" x14ac:dyDescent="0.2">
      <c r="A2" s="104" t="s">
        <v>360</v>
      </c>
      <c r="B2" s="104" t="s">
        <v>361</v>
      </c>
      <c r="C2" s="215" t="s">
        <v>375</v>
      </c>
      <c r="D2" s="104" t="s">
        <v>373</v>
      </c>
      <c r="E2" s="217" t="s">
        <v>369</v>
      </c>
      <c r="F2" s="218" t="s">
        <v>535</v>
      </c>
      <c r="G2" s="104" t="s">
        <v>536</v>
      </c>
      <c r="H2" s="104" t="s">
        <v>533</v>
      </c>
      <c r="I2" s="104" t="s">
        <v>534</v>
      </c>
      <c r="J2" s="104" t="s">
        <v>392</v>
      </c>
      <c r="K2" s="104" t="s">
        <v>446</v>
      </c>
      <c r="L2" s="104" t="s">
        <v>372</v>
      </c>
      <c r="M2" s="158" t="s">
        <v>384</v>
      </c>
      <c r="N2" s="158" t="s">
        <v>390</v>
      </c>
      <c r="O2" s="104" t="s">
        <v>359</v>
      </c>
      <c r="P2" s="104" t="s">
        <v>358</v>
      </c>
      <c r="Q2" s="104" t="s">
        <v>357</v>
      </c>
    </row>
    <row r="3" spans="1:17" s="241" customFormat="1" ht="32" outlineLevel="2" x14ac:dyDescent="0.2">
      <c r="A3" s="105" t="s">
        <v>244</v>
      </c>
      <c r="B3" s="105" t="s">
        <v>279</v>
      </c>
      <c r="C3" s="109" t="s">
        <v>634</v>
      </c>
      <c r="D3" s="105" t="s">
        <v>280</v>
      </c>
      <c r="E3" s="113">
        <v>1</v>
      </c>
      <c r="F3" s="219">
        <v>20.99</v>
      </c>
      <c r="G3" s="221">
        <f t="shared" ref="G3:G11" si="0">F3*E3</f>
        <v>20.99</v>
      </c>
      <c r="H3" s="232">
        <v>43253</v>
      </c>
      <c r="I3" s="232">
        <v>43253</v>
      </c>
      <c r="J3" s="108">
        <v>10</v>
      </c>
      <c r="K3" s="108">
        <v>2</v>
      </c>
      <c r="L3" s="108">
        <v>16</v>
      </c>
      <c r="M3" s="108">
        <v>0.5</v>
      </c>
      <c r="N3" s="108">
        <v>20</v>
      </c>
      <c r="O3" s="105"/>
      <c r="P3" s="105"/>
      <c r="Q3" s="105"/>
    </row>
    <row r="4" spans="1:17" ht="80" outlineLevel="2" x14ac:dyDescent="0.2">
      <c r="A4" s="98" t="s">
        <v>244</v>
      </c>
      <c r="B4" s="105" t="s">
        <v>345</v>
      </c>
      <c r="C4" s="109" t="s">
        <v>522</v>
      </c>
      <c r="D4" s="105" t="str">
        <f>VLOOKUP(C4,'Master Food List'!master_food_list,4,FALSE)</f>
        <v>pkg</v>
      </c>
      <c r="E4" s="105">
        <v>2</v>
      </c>
      <c r="F4" s="219">
        <f>VLOOKUP(C4,'Master Food List'!master_food_list,11,FALSE)</f>
        <v>0</v>
      </c>
      <c r="G4" s="221">
        <v>3.79</v>
      </c>
      <c r="H4" s="113"/>
      <c r="I4" s="113"/>
      <c r="J4" s="103">
        <v>9</v>
      </c>
      <c r="K4" s="103"/>
      <c r="L4" s="103">
        <v>8.5</v>
      </c>
      <c r="M4" s="103"/>
      <c r="N4" s="103">
        <v>4</v>
      </c>
      <c r="O4" s="122" t="s">
        <v>344</v>
      </c>
      <c r="P4" s="109" t="s">
        <v>523</v>
      </c>
      <c r="Q4" s="129"/>
    </row>
    <row r="5" spans="1:17" ht="80" outlineLevel="2" x14ac:dyDescent="0.2">
      <c r="A5" s="98" t="s">
        <v>244</v>
      </c>
      <c r="B5" s="105" t="s">
        <v>334</v>
      </c>
      <c r="C5" s="109" t="s">
        <v>396</v>
      </c>
      <c r="D5" s="105" t="str">
        <f>VLOOKUP(C5,'Master Food List'!master_food_list,4,FALSE)</f>
        <v>Bar</v>
      </c>
      <c r="E5" s="105">
        <v>1</v>
      </c>
      <c r="F5" s="219">
        <v>1</v>
      </c>
      <c r="G5" s="221">
        <f t="shared" si="0"/>
        <v>1</v>
      </c>
      <c r="H5" s="105"/>
      <c r="I5" s="105"/>
      <c r="J5" s="105">
        <v>1</v>
      </c>
      <c r="K5" s="105">
        <v>1</v>
      </c>
      <c r="L5" s="105">
        <v>2.4</v>
      </c>
      <c r="M5" s="105">
        <v>1</v>
      </c>
      <c r="N5" s="105">
        <v>1</v>
      </c>
      <c r="O5" s="122" t="s">
        <v>335</v>
      </c>
      <c r="P5" s="109" t="s">
        <v>531</v>
      </c>
      <c r="Q5" s="105"/>
    </row>
    <row r="6" spans="1:17" ht="32" outlineLevel="2" x14ac:dyDescent="0.2">
      <c r="A6" s="105" t="s">
        <v>244</v>
      </c>
      <c r="B6" s="105" t="s">
        <v>282</v>
      </c>
      <c r="C6" s="109" t="s">
        <v>284</v>
      </c>
      <c r="D6" s="105" t="str">
        <f>VLOOKUP(C6,'Master Food List'!master_food_list,4,FALSE)</f>
        <v>pkg</v>
      </c>
      <c r="E6" s="105">
        <f>VLOOKUP(C6,'Master Food List'!master_food_list,12,FALSE)</f>
        <v>1</v>
      </c>
      <c r="F6" s="219">
        <f>VLOOKUP(C6,'Master Food List'!master_food_list,11,FALSE)</f>
        <v>2.99</v>
      </c>
      <c r="G6" s="221">
        <f t="shared" si="0"/>
        <v>2.99</v>
      </c>
      <c r="H6" s="113"/>
      <c r="I6" s="113"/>
      <c r="J6" s="105">
        <v>8</v>
      </c>
      <c r="K6" s="105">
        <v>1</v>
      </c>
      <c r="L6" s="105">
        <v>14.1</v>
      </c>
      <c r="M6" s="105">
        <v>2</v>
      </c>
      <c r="N6" s="105">
        <v>4</v>
      </c>
      <c r="O6" s="109"/>
      <c r="P6" s="105"/>
      <c r="Q6" s="105"/>
    </row>
    <row r="7" spans="1:17" outlineLevel="2" x14ac:dyDescent="0.2">
      <c r="A7" s="105" t="s">
        <v>244</v>
      </c>
      <c r="B7" s="105" t="s">
        <v>282</v>
      </c>
      <c r="C7" s="109" t="s">
        <v>283</v>
      </c>
      <c r="D7" s="105" t="str">
        <f>VLOOKUP(C7,'Master Food List'!master_food_list,4,FALSE)</f>
        <v>pkg</v>
      </c>
      <c r="E7" s="105">
        <f>VLOOKUP(C7,'Master Food List'!master_food_list,12,FALSE)</f>
        <v>2</v>
      </c>
      <c r="F7" s="219">
        <f>VLOOKUP(C7,'Master Food List'!master_food_list,11,FALSE)</f>
        <v>3</v>
      </c>
      <c r="G7" s="221">
        <f t="shared" si="0"/>
        <v>6</v>
      </c>
      <c r="H7" s="113"/>
      <c r="I7" s="113"/>
      <c r="J7" s="105">
        <v>12</v>
      </c>
      <c r="K7" s="105">
        <v>1</v>
      </c>
      <c r="L7" s="105">
        <v>22</v>
      </c>
      <c r="M7" s="105">
        <v>2</v>
      </c>
      <c r="N7" s="105">
        <v>6</v>
      </c>
      <c r="O7" s="109"/>
      <c r="P7" s="105"/>
      <c r="Q7" s="105"/>
    </row>
    <row r="8" spans="1:17" ht="68" outlineLevel="2" x14ac:dyDescent="0.2">
      <c r="A8" s="105" t="s">
        <v>244</v>
      </c>
      <c r="B8" s="105" t="s">
        <v>297</v>
      </c>
      <c r="C8" s="109" t="s">
        <v>298</v>
      </c>
      <c r="D8" s="105" t="str">
        <f>VLOOKUP(C8,'Master Food List'!master_food_list,4,FALSE)</f>
        <v>2lb 10oz Bag</v>
      </c>
      <c r="E8" s="105">
        <f>VLOOKUP(C8,'Master Food List'!master_food_list,12,FALSE)</f>
        <v>1</v>
      </c>
      <c r="F8" s="219">
        <f>VLOOKUP(C8,'Master Food List'!master_food_list,11,FALSE)</f>
        <v>12.99</v>
      </c>
      <c r="G8" s="221">
        <f t="shared" si="0"/>
        <v>12.99</v>
      </c>
      <c r="H8" s="113"/>
      <c r="I8" s="113"/>
      <c r="J8" s="105">
        <v>28</v>
      </c>
      <c r="K8" s="105">
        <v>0.25</v>
      </c>
      <c r="L8" s="105">
        <v>42</v>
      </c>
      <c r="M8" s="105">
        <v>1</v>
      </c>
      <c r="N8" s="105">
        <v>28</v>
      </c>
      <c r="O8" s="122" t="s">
        <v>296</v>
      </c>
      <c r="P8" s="109" t="s">
        <v>295</v>
      </c>
      <c r="Q8" s="105"/>
    </row>
    <row r="9" spans="1:17" outlineLevel="2" x14ac:dyDescent="0.2">
      <c r="A9" s="105" t="s">
        <v>244</v>
      </c>
      <c r="B9" s="105" t="s">
        <v>264</v>
      </c>
      <c r="C9" s="109" t="s">
        <v>266</v>
      </c>
      <c r="D9" s="105" t="str">
        <f>VLOOKUP(C9,'Master Food List'!master_food_list,4,FALSE)</f>
        <v>pkg</v>
      </c>
      <c r="E9" s="105">
        <f>VLOOKUP(C9,'Master Food List'!master_food_list,12,FALSE)</f>
        <v>6</v>
      </c>
      <c r="F9" s="219">
        <f>VLOOKUP(C9,'Master Food List'!master_food_list,11,FALSE)</f>
        <v>1.99</v>
      </c>
      <c r="G9" s="221">
        <f t="shared" si="0"/>
        <v>11.94</v>
      </c>
      <c r="H9" s="105"/>
      <c r="I9" s="105"/>
      <c r="J9" s="105">
        <v>20</v>
      </c>
      <c r="K9" s="105">
        <v>1</v>
      </c>
      <c r="L9" s="105">
        <v>26</v>
      </c>
      <c r="M9" s="105"/>
      <c r="N9" s="105">
        <v>10</v>
      </c>
      <c r="O9" s="109"/>
      <c r="P9" s="105"/>
      <c r="Q9" s="105"/>
    </row>
    <row r="10" spans="1:17" s="257" customFormat="1" ht="68" outlineLevel="2" x14ac:dyDescent="0.2">
      <c r="A10" s="252" t="s">
        <v>244</v>
      </c>
      <c r="B10" s="252" t="s">
        <v>288</v>
      </c>
      <c r="C10" s="253" t="s">
        <v>479</v>
      </c>
      <c r="D10" s="252" t="str">
        <f>VLOOKUP(C10,'Master Food List'!master_food_list,4,FALSE)</f>
        <v>Jar</v>
      </c>
      <c r="E10" s="252">
        <v>1</v>
      </c>
      <c r="F10" s="254"/>
      <c r="G10" s="255">
        <f t="shared" si="0"/>
        <v>0</v>
      </c>
      <c r="H10" s="256" t="s">
        <v>633</v>
      </c>
      <c r="I10" s="256">
        <v>1</v>
      </c>
      <c r="J10" s="252">
        <v>16</v>
      </c>
      <c r="K10" s="252">
        <v>2</v>
      </c>
      <c r="L10" s="252">
        <v>18</v>
      </c>
      <c r="M10" s="252">
        <v>1.5</v>
      </c>
      <c r="N10" s="256">
        <v>10.666666666666666</v>
      </c>
      <c r="O10" s="253"/>
      <c r="P10" s="252" t="s">
        <v>760</v>
      </c>
      <c r="Q10" s="252"/>
    </row>
    <row r="11" spans="1:17" ht="128" outlineLevel="2" x14ac:dyDescent="0.2">
      <c r="A11" s="98" t="s">
        <v>244</v>
      </c>
      <c r="B11" s="98" t="s">
        <v>272</v>
      </c>
      <c r="C11" s="130" t="s">
        <v>414</v>
      </c>
      <c r="D11" s="105" t="str">
        <f>VLOOKUP(C11,'Master Food List'!master_food_list,4,FALSE)</f>
        <v>Bar</v>
      </c>
      <c r="E11" s="105">
        <f>VLOOKUP(C11,'Master Food List'!master_food_list,12,FALSE)</f>
        <v>11</v>
      </c>
      <c r="F11" s="219">
        <f>VLOOKUP(C11,'Master Food List'!master_food_list,11,FALSE)</f>
        <v>0.75</v>
      </c>
      <c r="G11" s="221">
        <f t="shared" si="0"/>
        <v>8.25</v>
      </c>
      <c r="H11" s="98"/>
      <c r="I11" s="98"/>
      <c r="J11" s="98">
        <v>1</v>
      </c>
      <c r="K11" s="98">
        <v>1</v>
      </c>
      <c r="L11" s="98">
        <v>1.86</v>
      </c>
      <c r="M11" s="98">
        <v>1</v>
      </c>
      <c r="N11" s="105">
        <v>1</v>
      </c>
      <c r="O11" s="122" t="s">
        <v>524</v>
      </c>
      <c r="P11" s="98" t="s">
        <v>416</v>
      </c>
      <c r="Q11" s="98"/>
    </row>
    <row r="12" spans="1:17" outlineLevel="1" x14ac:dyDescent="0.2">
      <c r="A12" s="335" t="s">
        <v>537</v>
      </c>
      <c r="B12" s="335"/>
      <c r="C12" s="336"/>
      <c r="D12" s="335"/>
      <c r="E12" s="335"/>
      <c r="F12" s="337"/>
      <c r="G12" s="338">
        <f>SUBTOTAL(9,G3:G11)</f>
        <v>67.949999999999989</v>
      </c>
      <c r="H12" s="335"/>
      <c r="I12" s="335"/>
      <c r="J12" s="335"/>
      <c r="K12" s="335"/>
      <c r="L12" s="335"/>
      <c r="M12" s="335"/>
      <c r="N12" s="335"/>
      <c r="O12" s="339"/>
      <c r="P12" s="335"/>
      <c r="Q12" s="335"/>
    </row>
    <row r="13" spans="1:17" ht="32" outlineLevel="2" x14ac:dyDescent="0.2">
      <c r="A13" s="98" t="s">
        <v>249</v>
      </c>
      <c r="B13" s="105" t="s">
        <v>249</v>
      </c>
      <c r="C13" s="109" t="s">
        <v>445</v>
      </c>
      <c r="D13" s="105" t="str">
        <f>VLOOKUP(C13,'Master Food List'!master_food_list,4,FALSE)</f>
        <v>Pouch</v>
      </c>
      <c r="E13" s="105">
        <f>VLOOKUP(C13,'Master Food List'!master_food_list,12,FALSE)</f>
        <v>3</v>
      </c>
      <c r="F13" s="219">
        <f>VLOOKUP(C13,'Master Food List'!master_food_list,11,FALSE)</f>
        <v>8.32</v>
      </c>
      <c r="G13" s="221">
        <f t="shared" ref="G13:G20" si="1">F13*E13</f>
        <v>24.96</v>
      </c>
      <c r="H13" s="105" t="s">
        <v>549</v>
      </c>
      <c r="I13" s="232">
        <v>43250</v>
      </c>
      <c r="J13" s="105">
        <v>2</v>
      </c>
      <c r="K13" s="105">
        <v>3</v>
      </c>
      <c r="L13" s="105">
        <v>6</v>
      </c>
      <c r="M13" s="105">
        <v>2</v>
      </c>
      <c r="N13" s="105">
        <v>1</v>
      </c>
      <c r="O13" s="122" t="s">
        <v>447</v>
      </c>
      <c r="P13" s="109" t="s">
        <v>448</v>
      </c>
      <c r="Q13" s="105"/>
    </row>
    <row r="14" spans="1:17" ht="32" outlineLevel="2" x14ac:dyDescent="0.2">
      <c r="A14" s="98" t="s">
        <v>249</v>
      </c>
      <c r="B14" s="105" t="s">
        <v>249</v>
      </c>
      <c r="C14" s="109" t="s">
        <v>439</v>
      </c>
      <c r="D14" s="105" t="str">
        <f>VLOOKUP(C14,'Master Food List'!master_food_list,4,FALSE)</f>
        <v>Pouch</v>
      </c>
      <c r="E14" s="105">
        <f>VLOOKUP(C14,'Master Food List'!master_food_list,12,FALSE)</f>
        <v>2</v>
      </c>
      <c r="F14" s="219">
        <f>VLOOKUP(C14,'Master Food List'!master_food_list,11,FALSE)</f>
        <v>7.43</v>
      </c>
      <c r="G14" s="221">
        <f t="shared" si="1"/>
        <v>14.86</v>
      </c>
      <c r="H14" s="105" t="s">
        <v>549</v>
      </c>
      <c r="I14" s="232">
        <v>43250</v>
      </c>
      <c r="J14" s="105">
        <v>2</v>
      </c>
      <c r="K14" s="105">
        <v>2.75</v>
      </c>
      <c r="L14" s="105">
        <v>5.5</v>
      </c>
      <c r="M14" s="105">
        <v>2</v>
      </c>
      <c r="N14" s="105">
        <v>1</v>
      </c>
      <c r="O14" s="122" t="s">
        <v>440</v>
      </c>
      <c r="P14" s="109" t="s">
        <v>441</v>
      </c>
      <c r="Q14" s="105"/>
    </row>
    <row r="15" spans="1:17" ht="32" outlineLevel="2" x14ac:dyDescent="0.2">
      <c r="A15" s="105" t="s">
        <v>249</v>
      </c>
      <c r="B15" s="105" t="s">
        <v>249</v>
      </c>
      <c r="C15" s="109" t="s">
        <v>452</v>
      </c>
      <c r="D15" s="105" t="str">
        <f>VLOOKUP(C15,'Master Food List'!master_food_list,4,FALSE)</f>
        <v>Pouch</v>
      </c>
      <c r="E15" s="105">
        <f>VLOOKUP(C15,'Master Food List'!master_food_list,12,FALSE)</f>
        <v>3</v>
      </c>
      <c r="F15" s="219">
        <f>VLOOKUP(C15,'Master Food List'!master_food_list,11,FALSE)</f>
        <v>6.25</v>
      </c>
      <c r="G15" s="221">
        <f t="shared" si="1"/>
        <v>18.75</v>
      </c>
      <c r="H15" s="105" t="s">
        <v>549</v>
      </c>
      <c r="I15" s="232">
        <v>43250</v>
      </c>
      <c r="J15" s="105">
        <v>2</v>
      </c>
      <c r="K15" s="105">
        <v>3</v>
      </c>
      <c r="L15" s="105">
        <v>6</v>
      </c>
      <c r="M15" s="105">
        <v>2</v>
      </c>
      <c r="N15" s="105">
        <v>1</v>
      </c>
      <c r="O15" s="122" t="s">
        <v>453</v>
      </c>
      <c r="P15" s="109" t="s">
        <v>454</v>
      </c>
      <c r="Q15" s="105"/>
    </row>
    <row r="16" spans="1:17" ht="32" outlineLevel="2" x14ac:dyDescent="0.2">
      <c r="A16" s="98" t="s">
        <v>249</v>
      </c>
      <c r="B16" s="98" t="s">
        <v>249</v>
      </c>
      <c r="C16" s="130" t="s">
        <v>442</v>
      </c>
      <c r="D16" s="98" t="str">
        <f>VLOOKUP(C16,'Master Food List'!master_food_list,4,FALSE)</f>
        <v>Pouch</v>
      </c>
      <c r="E16" s="98">
        <f>VLOOKUP(C16,'Master Food List'!master_food_list,12,FALSE)</f>
        <v>2</v>
      </c>
      <c r="F16" s="237">
        <f>VLOOKUP(C16,'Master Food List'!master_food_list,11,FALSE)</f>
        <v>6.75</v>
      </c>
      <c r="G16" s="238">
        <f t="shared" si="1"/>
        <v>13.5</v>
      </c>
      <c r="H16" s="98" t="s">
        <v>549</v>
      </c>
      <c r="I16" s="236">
        <v>444987</v>
      </c>
      <c r="J16" s="98">
        <v>2</v>
      </c>
      <c r="K16" s="98">
        <v>2.75</v>
      </c>
      <c r="L16" s="98">
        <v>5.75</v>
      </c>
      <c r="M16" s="98">
        <v>2</v>
      </c>
      <c r="N16" s="98">
        <v>1</v>
      </c>
      <c r="O16" s="239" t="s">
        <v>443</v>
      </c>
      <c r="P16" s="130" t="s">
        <v>444</v>
      </c>
      <c r="Q16" s="98"/>
    </row>
    <row r="17" spans="1:17" s="240" customFormat="1" ht="48" outlineLevel="2" x14ac:dyDescent="0.2">
      <c r="A17" s="105" t="s">
        <v>249</v>
      </c>
      <c r="B17" s="105" t="s">
        <v>249</v>
      </c>
      <c r="C17" s="109" t="s">
        <v>433</v>
      </c>
      <c r="D17" s="105" t="str">
        <f>VLOOKUP(C17,'Master Food List'!master_food_list,4,FALSE)</f>
        <v>Pouch</v>
      </c>
      <c r="E17" s="105">
        <f>VLOOKUP(C17,'Master Food List'!master_food_list,12,FALSE)</f>
        <v>14</v>
      </c>
      <c r="F17" s="219">
        <f>VLOOKUP(C17,'Master Food List'!master_food_list,11,FALSE)</f>
        <v>4.75</v>
      </c>
      <c r="G17" s="221">
        <f t="shared" si="1"/>
        <v>66.5</v>
      </c>
      <c r="H17" s="105" t="s">
        <v>549</v>
      </c>
      <c r="I17" s="232">
        <v>43250</v>
      </c>
      <c r="J17" s="105">
        <v>2</v>
      </c>
      <c r="K17" s="105">
        <v>2</v>
      </c>
      <c r="L17" s="105">
        <v>4</v>
      </c>
      <c r="M17" s="105">
        <v>1</v>
      </c>
      <c r="N17" s="113">
        <v>2</v>
      </c>
      <c r="O17" s="122" t="s">
        <v>434</v>
      </c>
      <c r="P17" s="109" t="s">
        <v>435</v>
      </c>
      <c r="Q17" s="105"/>
    </row>
    <row r="18" spans="1:17" ht="34" outlineLevel="2" x14ac:dyDescent="0.2">
      <c r="A18" s="105" t="s">
        <v>249</v>
      </c>
      <c r="B18" s="105" t="s">
        <v>249</v>
      </c>
      <c r="C18" s="109" t="s">
        <v>436</v>
      </c>
      <c r="D18" s="105" t="str">
        <f>VLOOKUP(C18,'Master Food List'!master_food_list,4,FALSE)</f>
        <v>Pouch</v>
      </c>
      <c r="E18" s="105">
        <f>VLOOKUP(C18,'Master Food List'!master_food_list,12,FALSE)</f>
        <v>2</v>
      </c>
      <c r="F18" s="219">
        <f>VLOOKUP(C18,'Master Food List'!master_food_list,11,FALSE)</f>
        <v>8.32</v>
      </c>
      <c r="G18" s="221">
        <f t="shared" si="1"/>
        <v>16.64</v>
      </c>
      <c r="H18" s="105" t="s">
        <v>549</v>
      </c>
      <c r="I18" s="232">
        <v>43250</v>
      </c>
      <c r="J18" s="105">
        <v>2</v>
      </c>
      <c r="K18" s="105">
        <v>3</v>
      </c>
      <c r="L18" s="105">
        <v>6</v>
      </c>
      <c r="M18" s="105">
        <v>2</v>
      </c>
      <c r="N18" s="105">
        <v>1</v>
      </c>
      <c r="O18" s="122" t="s">
        <v>437</v>
      </c>
      <c r="P18" s="105" t="s">
        <v>438</v>
      </c>
      <c r="Q18" s="105"/>
    </row>
    <row r="19" spans="1:17" ht="51" outlineLevel="2" x14ac:dyDescent="0.2">
      <c r="A19" s="105" t="s">
        <v>249</v>
      </c>
      <c r="B19" s="105" t="s">
        <v>249</v>
      </c>
      <c r="C19" s="109" t="s">
        <v>430</v>
      </c>
      <c r="D19" s="105" t="str">
        <f>VLOOKUP(C19,'Master Food List'!master_food_list,4,FALSE)</f>
        <v>Pouch</v>
      </c>
      <c r="E19" s="105">
        <f>VLOOKUP(C19,'Master Food List'!master_food_list,12,FALSE)</f>
        <v>16</v>
      </c>
      <c r="F19" s="219">
        <f>VLOOKUP(C19,'Master Food List'!master_food_list,11,FALSE)</f>
        <v>5.95</v>
      </c>
      <c r="G19" s="221">
        <f t="shared" si="1"/>
        <v>95.2</v>
      </c>
      <c r="H19" s="105" t="s">
        <v>549</v>
      </c>
      <c r="I19" s="232">
        <v>43250</v>
      </c>
      <c r="J19" s="105">
        <v>3</v>
      </c>
      <c r="K19" s="105">
        <v>2</v>
      </c>
      <c r="L19" s="105">
        <v>6</v>
      </c>
      <c r="M19" s="105">
        <v>1.5</v>
      </c>
      <c r="N19" s="105">
        <v>2</v>
      </c>
      <c r="O19" s="122" t="s">
        <v>431</v>
      </c>
      <c r="P19" s="109" t="s">
        <v>432</v>
      </c>
      <c r="Q19" s="105"/>
    </row>
    <row r="20" spans="1:17" ht="34" outlineLevel="2" x14ac:dyDescent="0.2">
      <c r="A20" s="105" t="s">
        <v>249</v>
      </c>
      <c r="B20" s="105" t="s">
        <v>249</v>
      </c>
      <c r="C20" s="109" t="s">
        <v>449</v>
      </c>
      <c r="D20" s="105" t="str">
        <f>VLOOKUP(C20,'Master Food List'!master_food_list,4,FALSE)</f>
        <v>Pouch</v>
      </c>
      <c r="E20" s="105">
        <f>VLOOKUP(C20,'Master Food List'!master_food_list,12,FALSE)</f>
        <v>4</v>
      </c>
      <c r="F20" s="219">
        <f>VLOOKUP(C20,'Master Food List'!master_food_list,11,FALSE)</f>
        <v>5.95</v>
      </c>
      <c r="G20" s="221">
        <f t="shared" si="1"/>
        <v>23.8</v>
      </c>
      <c r="H20" s="105" t="s">
        <v>549</v>
      </c>
      <c r="I20" s="232">
        <v>43250</v>
      </c>
      <c r="J20" s="105">
        <v>2</v>
      </c>
      <c r="K20" s="105">
        <v>1</v>
      </c>
      <c r="L20" s="105">
        <v>5.6</v>
      </c>
      <c r="M20" s="105">
        <v>2</v>
      </c>
      <c r="N20" s="105">
        <v>1</v>
      </c>
      <c r="O20" s="122" t="s">
        <v>450</v>
      </c>
      <c r="P20" s="105" t="s">
        <v>451</v>
      </c>
      <c r="Q20" s="105"/>
    </row>
    <row r="21" spans="1:17" ht="17" outlineLevel="1" x14ac:dyDescent="0.2">
      <c r="A21" s="335" t="s">
        <v>538</v>
      </c>
      <c r="B21" s="335"/>
      <c r="C21" s="336"/>
      <c r="D21" s="335"/>
      <c r="E21" s="335"/>
      <c r="F21" s="337"/>
      <c r="G21" s="338">
        <f>SUBTOTAL(9,G13:G20)</f>
        <v>274.20999999999998</v>
      </c>
      <c r="H21" s="335"/>
      <c r="I21" s="340"/>
      <c r="J21" s="335"/>
      <c r="K21" s="335"/>
      <c r="L21" s="335"/>
      <c r="M21" s="335"/>
      <c r="N21" s="335"/>
      <c r="O21" s="339"/>
      <c r="P21" s="335"/>
      <c r="Q21" s="335"/>
    </row>
    <row r="22" spans="1:17" ht="85" outlineLevel="2" x14ac:dyDescent="0.2">
      <c r="A22" s="105" t="s">
        <v>234</v>
      </c>
      <c r="B22" s="105" t="s">
        <v>268</v>
      </c>
      <c r="C22" s="109" t="s">
        <v>409</v>
      </c>
      <c r="D22" s="105" t="str">
        <f>VLOOKUP(C22,'Master Food List'!master_food_list,4,FALSE)</f>
        <v>#10 Can*</v>
      </c>
      <c r="E22" s="225">
        <f>VLOOKUP(C22,'Master Food List'!master_food_list,12,FALSE)</f>
        <v>1</v>
      </c>
      <c r="F22" s="219">
        <f>VLOOKUP(C22,'Master Food List'!master_food_list,11,FALSE)</f>
        <v>37.99</v>
      </c>
      <c r="G22" s="221">
        <f t="shared" ref="G22:G46" si="2">F22*E22</f>
        <v>37.99</v>
      </c>
      <c r="H22" s="113" t="s">
        <v>548</v>
      </c>
      <c r="I22" s="232">
        <v>43241</v>
      </c>
      <c r="J22" s="105">
        <v>23</v>
      </c>
      <c r="K22" s="105">
        <v>1</v>
      </c>
      <c r="L22" s="105">
        <v>36.1</v>
      </c>
      <c r="M22" s="105">
        <v>3</v>
      </c>
      <c r="N22" s="214">
        <v>7.666666666666667</v>
      </c>
      <c r="O22" s="122" t="s">
        <v>291</v>
      </c>
      <c r="P22" s="109" t="s">
        <v>421</v>
      </c>
      <c r="Q22" s="105"/>
    </row>
    <row r="23" spans="1:17" ht="102" outlineLevel="2" x14ac:dyDescent="0.2">
      <c r="A23" s="105" t="s">
        <v>234</v>
      </c>
      <c r="B23" s="105" t="s">
        <v>268</v>
      </c>
      <c r="C23" s="109" t="s">
        <v>290</v>
      </c>
      <c r="D23" s="105" t="str">
        <f>VLOOKUP(C23,'Master Food List'!master_food_list,4,FALSE)</f>
        <v>Pouch</v>
      </c>
      <c r="E23" s="225">
        <f>VLOOKUP(C23,'Master Food List'!master_food_list,12,FALSE)</f>
        <v>3</v>
      </c>
      <c r="F23" s="219">
        <f>VLOOKUP(C23,'Master Food List'!master_food_list,11,FALSE)</f>
        <v>7.5</v>
      </c>
      <c r="G23" s="221">
        <f t="shared" si="2"/>
        <v>22.5</v>
      </c>
      <c r="H23" s="113" t="s">
        <v>548</v>
      </c>
      <c r="I23" s="232">
        <v>43241</v>
      </c>
      <c r="J23" s="105">
        <v>2</v>
      </c>
      <c r="K23" s="105">
        <v>0.5</v>
      </c>
      <c r="L23" s="105">
        <v>8</v>
      </c>
      <c r="M23" s="105">
        <v>2</v>
      </c>
      <c r="N23" s="105">
        <v>1</v>
      </c>
      <c r="O23" s="122" t="s">
        <v>410</v>
      </c>
      <c r="P23" s="144" t="s">
        <v>422</v>
      </c>
      <c r="Q23" s="105"/>
    </row>
    <row r="24" spans="1:17" ht="68" outlineLevel="2" x14ac:dyDescent="0.2">
      <c r="A24" s="105" t="s">
        <v>234</v>
      </c>
      <c r="B24" s="105" t="s">
        <v>323</v>
      </c>
      <c r="C24" s="109" t="s">
        <v>327</v>
      </c>
      <c r="D24" s="105" t="str">
        <f>VLOOKUP(C24,'Master Food List'!master_food_list,4,FALSE)</f>
        <v>Pack of 12</v>
      </c>
      <c r="E24" s="225">
        <f>VLOOKUP(C24,'Master Food List'!master_food_list,12,FALSE)</f>
        <v>1</v>
      </c>
      <c r="F24" s="219">
        <f>VLOOKUP(C24,'Master Food List'!master_food_list,11,FALSE)</f>
        <v>25.99</v>
      </c>
      <c r="G24" s="221">
        <f t="shared" si="2"/>
        <v>25.99</v>
      </c>
      <c r="H24" s="113" t="s">
        <v>548</v>
      </c>
      <c r="I24" s="232">
        <v>43242</v>
      </c>
      <c r="J24" s="105">
        <v>12</v>
      </c>
      <c r="K24" s="105">
        <v>1</v>
      </c>
      <c r="L24" s="105">
        <v>15.600000000000001</v>
      </c>
      <c r="M24" s="105">
        <v>1</v>
      </c>
      <c r="N24" s="105">
        <v>12</v>
      </c>
      <c r="O24" s="122" t="s">
        <v>326</v>
      </c>
      <c r="P24" s="109"/>
      <c r="Q24" s="105"/>
    </row>
    <row r="25" spans="1:17" ht="68" outlineLevel="2" x14ac:dyDescent="0.2">
      <c r="A25" s="105" t="s">
        <v>234</v>
      </c>
      <c r="B25" s="105" t="s">
        <v>323</v>
      </c>
      <c r="C25" s="109" t="s">
        <v>325</v>
      </c>
      <c r="D25" s="105" t="str">
        <f>VLOOKUP(C25,'Master Food List'!master_food_list,4,FALSE)</f>
        <v>Pack of 12</v>
      </c>
      <c r="E25" s="225">
        <f>VLOOKUP(C25,'Master Food List'!master_food_list,12,FALSE)</f>
        <v>1</v>
      </c>
      <c r="F25" s="219">
        <f>VLOOKUP(C25,'Master Food List'!master_food_list,11,FALSE)</f>
        <v>25.82</v>
      </c>
      <c r="G25" s="221">
        <f t="shared" si="2"/>
        <v>25.82</v>
      </c>
      <c r="H25" s="113" t="s">
        <v>548</v>
      </c>
      <c r="I25" s="232">
        <v>43242</v>
      </c>
      <c r="J25" s="105">
        <v>12</v>
      </c>
      <c r="K25" s="105">
        <v>1</v>
      </c>
      <c r="L25" s="105">
        <v>15.600000000000001</v>
      </c>
      <c r="M25" s="105">
        <v>1</v>
      </c>
      <c r="N25" s="105">
        <v>12</v>
      </c>
      <c r="O25" s="122" t="s">
        <v>322</v>
      </c>
      <c r="P25" s="109"/>
      <c r="Q25" s="105"/>
    </row>
    <row r="26" spans="1:17" ht="85" outlineLevel="2" x14ac:dyDescent="0.2">
      <c r="A26" s="105" t="s">
        <v>234</v>
      </c>
      <c r="B26" s="105" t="s">
        <v>242</v>
      </c>
      <c r="C26" s="109" t="s">
        <v>243</v>
      </c>
      <c r="D26" s="105" t="str">
        <f>VLOOKUP(C26,'Master Food List'!master_food_list,4,FALSE)</f>
        <v>Jar</v>
      </c>
      <c r="E26" s="225">
        <f>VLOOKUP(C26,'Master Food List'!master_food_list,12,FALSE)</f>
        <v>1</v>
      </c>
      <c r="F26" s="219">
        <f>VLOOKUP(C26,'Master Food List'!master_food_list,11,FALSE)</f>
        <v>11.99</v>
      </c>
      <c r="G26" s="221">
        <f t="shared" si="2"/>
        <v>11.99</v>
      </c>
      <c r="H26" s="113" t="s">
        <v>548</v>
      </c>
      <c r="I26" s="232">
        <v>43241</v>
      </c>
      <c r="J26" s="105">
        <v>34</v>
      </c>
      <c r="K26" s="105">
        <v>2</v>
      </c>
      <c r="L26" s="105">
        <v>16</v>
      </c>
      <c r="M26" s="105">
        <v>1.5</v>
      </c>
      <c r="N26" s="213">
        <v>22.666666666666668</v>
      </c>
      <c r="O26" s="122" t="s">
        <v>241</v>
      </c>
      <c r="P26" s="109"/>
      <c r="Q26" s="105"/>
    </row>
    <row r="27" spans="1:17" ht="51" outlineLevel="2" x14ac:dyDescent="0.2">
      <c r="A27" s="105" t="s">
        <v>234</v>
      </c>
      <c r="B27" s="105" t="s">
        <v>710</v>
      </c>
      <c r="C27" s="109" t="s">
        <v>711</v>
      </c>
      <c r="D27" s="105" t="s">
        <v>712</v>
      </c>
      <c r="E27" s="225">
        <v>2</v>
      </c>
      <c r="F27" s="219">
        <v>5.74</v>
      </c>
      <c r="G27" s="221">
        <f t="shared" ref="G27:G32" si="3">F27*E27</f>
        <v>11.48</v>
      </c>
      <c r="H27" s="113" t="s">
        <v>713</v>
      </c>
      <c r="I27" s="232">
        <v>43262</v>
      </c>
      <c r="J27" s="105"/>
      <c r="K27" s="105"/>
      <c r="L27" s="105"/>
      <c r="M27" s="105"/>
      <c r="N27" s="213"/>
      <c r="O27" s="122" t="s">
        <v>719</v>
      </c>
      <c r="P27" s="109"/>
      <c r="Q27" s="105"/>
    </row>
    <row r="28" spans="1:17" ht="51" outlineLevel="2" x14ac:dyDescent="0.2">
      <c r="A28" s="105" t="s">
        <v>234</v>
      </c>
      <c r="B28" s="105" t="s">
        <v>710</v>
      </c>
      <c r="C28" s="109" t="s">
        <v>714</v>
      </c>
      <c r="D28" s="105" t="s">
        <v>712</v>
      </c>
      <c r="E28" s="225">
        <v>2</v>
      </c>
      <c r="F28" s="219">
        <v>5.89</v>
      </c>
      <c r="G28" s="221">
        <f t="shared" si="3"/>
        <v>11.78</v>
      </c>
      <c r="H28" s="113" t="s">
        <v>713</v>
      </c>
      <c r="I28" s="232">
        <v>43262</v>
      </c>
      <c r="J28" s="105"/>
      <c r="K28" s="105"/>
      <c r="L28" s="105"/>
      <c r="M28" s="105"/>
      <c r="N28" s="213"/>
      <c r="O28" s="122" t="s">
        <v>720</v>
      </c>
      <c r="P28" s="109"/>
      <c r="Q28" s="105"/>
    </row>
    <row r="29" spans="1:17" ht="51" outlineLevel="2" x14ac:dyDescent="0.2">
      <c r="A29" s="105" t="s">
        <v>234</v>
      </c>
      <c r="B29" s="105" t="s">
        <v>710</v>
      </c>
      <c r="C29" s="109" t="s">
        <v>715</v>
      </c>
      <c r="D29" s="105" t="s">
        <v>712</v>
      </c>
      <c r="E29" s="225">
        <v>1</v>
      </c>
      <c r="F29" s="219">
        <v>11.9</v>
      </c>
      <c r="G29" s="221">
        <f t="shared" si="3"/>
        <v>11.9</v>
      </c>
      <c r="H29" s="113" t="s">
        <v>713</v>
      </c>
      <c r="I29" s="232">
        <v>43262</v>
      </c>
      <c r="J29" s="105"/>
      <c r="K29" s="105"/>
      <c r="L29" s="105"/>
      <c r="M29" s="105"/>
      <c r="N29" s="213"/>
      <c r="O29" s="122" t="s">
        <v>722</v>
      </c>
      <c r="P29" s="109"/>
      <c r="Q29" s="105"/>
    </row>
    <row r="30" spans="1:17" ht="51" outlineLevel="2" x14ac:dyDescent="0.2">
      <c r="A30" s="105" t="s">
        <v>234</v>
      </c>
      <c r="B30" s="105" t="s">
        <v>710</v>
      </c>
      <c r="C30" s="109" t="s">
        <v>717</v>
      </c>
      <c r="D30" s="105" t="s">
        <v>712</v>
      </c>
      <c r="E30" s="225">
        <v>1</v>
      </c>
      <c r="F30" s="219">
        <v>10</v>
      </c>
      <c r="G30" s="221">
        <f t="shared" si="3"/>
        <v>10</v>
      </c>
      <c r="H30" s="113" t="s">
        <v>716</v>
      </c>
      <c r="I30" s="232">
        <v>43273</v>
      </c>
      <c r="J30" s="105"/>
      <c r="K30" s="105"/>
      <c r="L30" s="105"/>
      <c r="M30" s="105"/>
      <c r="N30" s="213"/>
      <c r="O30" s="122" t="s">
        <v>721</v>
      </c>
      <c r="P30" s="109"/>
      <c r="Q30" s="105"/>
    </row>
    <row r="31" spans="1:17" ht="51" outlineLevel="2" x14ac:dyDescent="0.2">
      <c r="A31" s="105" t="s">
        <v>234</v>
      </c>
      <c r="B31" s="105" t="s">
        <v>710</v>
      </c>
      <c r="C31" s="109" t="s">
        <v>711</v>
      </c>
      <c r="D31" s="105" t="s">
        <v>712</v>
      </c>
      <c r="E31" s="225">
        <v>1</v>
      </c>
      <c r="F31" s="219">
        <v>5.74</v>
      </c>
      <c r="G31" s="221">
        <f t="shared" si="3"/>
        <v>5.74</v>
      </c>
      <c r="H31" s="113" t="s">
        <v>716</v>
      </c>
      <c r="I31" s="232">
        <v>43273</v>
      </c>
      <c r="J31" s="105"/>
      <c r="K31" s="105"/>
      <c r="L31" s="105"/>
      <c r="M31" s="105"/>
      <c r="N31" s="213"/>
      <c r="O31" s="122" t="s">
        <v>719</v>
      </c>
      <c r="P31" s="109"/>
      <c r="Q31" s="105"/>
    </row>
    <row r="32" spans="1:17" ht="51" outlineLevel="2" x14ac:dyDescent="0.2">
      <c r="A32" s="105" t="s">
        <v>234</v>
      </c>
      <c r="B32" s="105" t="s">
        <v>710</v>
      </c>
      <c r="C32" s="109" t="s">
        <v>714</v>
      </c>
      <c r="D32" s="105" t="s">
        <v>712</v>
      </c>
      <c r="E32" s="225">
        <v>1</v>
      </c>
      <c r="F32" s="219">
        <v>5</v>
      </c>
      <c r="G32" s="221">
        <f t="shared" si="3"/>
        <v>5</v>
      </c>
      <c r="H32" s="113" t="s">
        <v>716</v>
      </c>
      <c r="I32" s="232">
        <v>43273</v>
      </c>
      <c r="J32" s="105"/>
      <c r="K32" s="105"/>
      <c r="L32" s="105"/>
      <c r="M32" s="105"/>
      <c r="N32" s="213"/>
      <c r="O32" s="122" t="s">
        <v>720</v>
      </c>
      <c r="P32" s="109"/>
      <c r="Q32" s="105"/>
    </row>
    <row r="33" spans="1:17" ht="85" outlineLevel="2" x14ac:dyDescent="0.2">
      <c r="A33" s="105" t="s">
        <v>234</v>
      </c>
      <c r="B33" s="105" t="s">
        <v>300</v>
      </c>
      <c r="C33" s="109" t="s">
        <v>306</v>
      </c>
      <c r="D33" s="105" t="str">
        <f>VLOOKUP(C33,'Master Food List'!master_food_list,4,FALSE)</f>
        <v>Pack of 8</v>
      </c>
      <c r="E33" s="225">
        <f>VLOOKUP(C33,'Master Food List'!master_food_list,12,FALSE)</f>
        <v>1</v>
      </c>
      <c r="F33" s="219">
        <f>VLOOKUP(C33,'Master Food List'!master_food_list,11,FALSE)</f>
        <v>35.92</v>
      </c>
      <c r="G33" s="221">
        <f t="shared" si="2"/>
        <v>35.92</v>
      </c>
      <c r="H33" s="113" t="s">
        <v>548</v>
      </c>
      <c r="I33" s="232">
        <v>43241</v>
      </c>
      <c r="J33" s="105">
        <v>20</v>
      </c>
      <c r="K33" s="105">
        <v>1</v>
      </c>
      <c r="L33" s="105">
        <v>21.6</v>
      </c>
      <c r="M33" s="105">
        <v>2.5</v>
      </c>
      <c r="N33" s="105">
        <v>8</v>
      </c>
      <c r="O33" s="122" t="s">
        <v>305</v>
      </c>
      <c r="P33" s="109"/>
      <c r="Q33" s="105"/>
    </row>
    <row r="34" spans="1:17" ht="102" outlineLevel="2" x14ac:dyDescent="0.2">
      <c r="A34" s="105" t="s">
        <v>234</v>
      </c>
      <c r="B34" s="105" t="s">
        <v>300</v>
      </c>
      <c r="C34" s="109" t="s">
        <v>304</v>
      </c>
      <c r="D34" s="105" t="str">
        <f>VLOOKUP(C34,'Master Food List'!master_food_list,4,FALSE)</f>
        <v>Pack of 8</v>
      </c>
      <c r="E34" s="225">
        <f>VLOOKUP(C34,'Master Food List'!master_food_list,12,FALSE)</f>
        <v>1</v>
      </c>
      <c r="F34" s="219">
        <f>VLOOKUP(C34,'Master Food List'!master_food_list,11,FALSE)</f>
        <v>46.17</v>
      </c>
      <c r="G34" s="221">
        <f t="shared" si="2"/>
        <v>46.17</v>
      </c>
      <c r="H34" s="113" t="s">
        <v>548</v>
      </c>
      <c r="I34" s="232">
        <v>43241</v>
      </c>
      <c r="J34" s="105">
        <v>20</v>
      </c>
      <c r="K34" s="105">
        <v>1</v>
      </c>
      <c r="L34" s="105">
        <v>21.6</v>
      </c>
      <c r="M34" s="105">
        <v>2.5</v>
      </c>
      <c r="N34" s="105">
        <v>8</v>
      </c>
      <c r="O34" s="122" t="s">
        <v>303</v>
      </c>
      <c r="P34" s="109"/>
      <c r="Q34" s="105"/>
    </row>
    <row r="35" spans="1:17" ht="85" outlineLevel="2" x14ac:dyDescent="0.2">
      <c r="A35" s="105" t="s">
        <v>234</v>
      </c>
      <c r="B35" s="105" t="s">
        <v>300</v>
      </c>
      <c r="C35" s="109" t="s">
        <v>302</v>
      </c>
      <c r="D35" s="105" t="str">
        <f>VLOOKUP(C35,'Master Food List'!master_food_list,4,FALSE)</f>
        <v>Pack of 8</v>
      </c>
      <c r="E35" s="225">
        <f>VLOOKUP(C35,'Master Food List'!master_food_list,12,FALSE)</f>
        <v>1</v>
      </c>
      <c r="F35" s="219">
        <f>VLOOKUP(C35,'Master Food List'!master_food_list,11,FALSE)</f>
        <v>35.92</v>
      </c>
      <c r="G35" s="221">
        <f t="shared" si="2"/>
        <v>35.92</v>
      </c>
      <c r="H35" s="113" t="s">
        <v>548</v>
      </c>
      <c r="I35" s="232">
        <v>43241</v>
      </c>
      <c r="J35" s="105">
        <v>20</v>
      </c>
      <c r="K35" s="105">
        <v>1</v>
      </c>
      <c r="L35" s="105">
        <v>21.6</v>
      </c>
      <c r="M35" s="105">
        <v>2.5</v>
      </c>
      <c r="N35" s="105">
        <v>8</v>
      </c>
      <c r="O35" s="122" t="s">
        <v>299</v>
      </c>
      <c r="P35" s="109"/>
      <c r="Q35" s="105"/>
    </row>
    <row r="36" spans="1:17" ht="102" outlineLevel="2" x14ac:dyDescent="0.2">
      <c r="A36" s="98" t="s">
        <v>234</v>
      </c>
      <c r="B36" s="105" t="s">
        <v>274</v>
      </c>
      <c r="C36" s="109" t="s">
        <v>356</v>
      </c>
      <c r="D36" s="105" t="str">
        <f>VLOOKUP(C36,'Master Food List'!master_food_list,4,FALSE)</f>
        <v>6-Pack</v>
      </c>
      <c r="E36" s="225">
        <f>VLOOKUP(C36,'Master Food List'!master_food_list,12,FALSE)</f>
        <v>2</v>
      </c>
      <c r="F36" s="219">
        <f>VLOOKUP(C36,'Master Food List'!master_food_list,11,FALSE)</f>
        <v>45</v>
      </c>
      <c r="G36" s="221">
        <f t="shared" si="2"/>
        <v>90</v>
      </c>
      <c r="H36" s="113" t="s">
        <v>548</v>
      </c>
      <c r="I36" s="232">
        <v>43242</v>
      </c>
      <c r="J36" s="105">
        <v>18</v>
      </c>
      <c r="K36" s="213">
        <v>0.66666666666666663</v>
      </c>
      <c r="L36" s="105">
        <v>27.54</v>
      </c>
      <c r="M36" s="105">
        <v>3</v>
      </c>
      <c r="N36" s="105">
        <v>6</v>
      </c>
      <c r="O36" s="122" t="s">
        <v>355</v>
      </c>
      <c r="P36" s="159" t="s">
        <v>383</v>
      </c>
      <c r="Q36" s="129"/>
    </row>
    <row r="37" spans="1:17" ht="136" outlineLevel="2" x14ac:dyDescent="0.2">
      <c r="A37" s="105" t="s">
        <v>234</v>
      </c>
      <c r="B37" s="105" t="s">
        <v>274</v>
      </c>
      <c r="C37" s="109" t="s">
        <v>526</v>
      </c>
      <c r="D37" s="105" t="str">
        <f>VLOOKUP(C37,'Master Food List'!master_food_list,4,FALSE)</f>
        <v>6-Pack</v>
      </c>
      <c r="E37" s="225">
        <f>VLOOKUP(C37,'Master Food List'!master_food_list,12,FALSE)</f>
        <v>1</v>
      </c>
      <c r="F37" s="219">
        <f>VLOOKUP(C37,'Master Food List'!master_food_list,11,FALSE)</f>
        <v>42</v>
      </c>
      <c r="G37" s="221">
        <f t="shared" si="2"/>
        <v>42</v>
      </c>
      <c r="H37" s="113" t="s">
        <v>548</v>
      </c>
      <c r="I37" s="232">
        <v>43242</v>
      </c>
      <c r="J37" s="105">
        <v>12</v>
      </c>
      <c r="K37" s="105">
        <v>1</v>
      </c>
      <c r="L37" s="105">
        <v>4.7300000000000004</v>
      </c>
      <c r="M37" s="105">
        <v>2</v>
      </c>
      <c r="N37" s="105">
        <v>6</v>
      </c>
      <c r="O37" s="122" t="s">
        <v>527</v>
      </c>
      <c r="P37" s="109" t="s">
        <v>525</v>
      </c>
      <c r="Q37" s="105"/>
    </row>
    <row r="38" spans="1:17" ht="102" outlineLevel="2" x14ac:dyDescent="0.2">
      <c r="A38" s="98" t="s">
        <v>234</v>
      </c>
      <c r="B38" s="105" t="s">
        <v>274</v>
      </c>
      <c r="C38" s="109" t="s">
        <v>341</v>
      </c>
      <c r="D38" s="105" t="str">
        <f>VLOOKUP(C38,'Master Food List'!master_food_list,4,FALSE)</f>
        <v>Pouch</v>
      </c>
      <c r="E38" s="225">
        <f>VLOOKUP(C38,'Master Food List'!master_food_list,12,FALSE)</f>
        <v>3</v>
      </c>
      <c r="F38" s="219">
        <f>VLOOKUP(C38,'Master Food List'!master_food_list,11,FALSE)</f>
        <v>11</v>
      </c>
      <c r="G38" s="221">
        <f t="shared" si="2"/>
        <v>33</v>
      </c>
      <c r="H38" s="113" t="s">
        <v>548</v>
      </c>
      <c r="I38" s="232">
        <v>43242</v>
      </c>
      <c r="J38" s="105">
        <v>2</v>
      </c>
      <c r="K38" s="105">
        <v>0.5</v>
      </c>
      <c r="L38" s="105">
        <v>3.7</v>
      </c>
      <c r="M38" s="105">
        <v>2</v>
      </c>
      <c r="N38" s="105">
        <v>1</v>
      </c>
      <c r="O38" s="122" t="s">
        <v>530</v>
      </c>
      <c r="P38" s="109" t="s">
        <v>340</v>
      </c>
      <c r="Q38" s="105"/>
    </row>
    <row r="39" spans="1:17" ht="68" outlineLevel="2" x14ac:dyDescent="0.2">
      <c r="A39" s="98" t="s">
        <v>234</v>
      </c>
      <c r="B39" s="105" t="s">
        <v>274</v>
      </c>
      <c r="C39" s="109" t="s">
        <v>339</v>
      </c>
      <c r="D39" s="105" t="str">
        <f>VLOOKUP(C39,'Master Food List'!master_food_list,4,FALSE)</f>
        <v>6-Pack</v>
      </c>
      <c r="E39" s="225">
        <f>VLOOKUP(C39,'Master Food List'!master_food_list,12,FALSE)</f>
        <v>1</v>
      </c>
      <c r="F39" s="219">
        <f>VLOOKUP(C39,'Master Food List'!master_food_list,11,FALSE)</f>
        <v>45</v>
      </c>
      <c r="G39" s="221">
        <f t="shared" si="2"/>
        <v>45</v>
      </c>
      <c r="H39" s="113" t="s">
        <v>548</v>
      </c>
      <c r="I39" s="232">
        <v>43242</v>
      </c>
      <c r="J39" s="105">
        <v>12</v>
      </c>
      <c r="K39" s="105">
        <v>1</v>
      </c>
      <c r="L39" s="105">
        <v>30.48</v>
      </c>
      <c r="M39" s="105">
        <v>2</v>
      </c>
      <c r="N39" s="105">
        <v>6</v>
      </c>
      <c r="O39" s="122" t="s">
        <v>337</v>
      </c>
      <c r="P39" s="109" t="s">
        <v>393</v>
      </c>
      <c r="Q39" s="105"/>
    </row>
    <row r="40" spans="1:17" ht="68" outlineLevel="2" x14ac:dyDescent="0.2">
      <c r="A40" s="98" t="s">
        <v>234</v>
      </c>
      <c r="B40" s="105" t="s">
        <v>274</v>
      </c>
      <c r="C40" s="109" t="s">
        <v>336</v>
      </c>
      <c r="D40" s="105" t="str">
        <f>VLOOKUP(C40,'Master Food List'!master_food_list,4,FALSE)</f>
        <v>#10 Can*</v>
      </c>
      <c r="E40" s="225">
        <f>VLOOKUP(C40,'Master Food List'!master_food_list,12,FALSE)</f>
        <v>1</v>
      </c>
      <c r="F40" s="219">
        <f>VLOOKUP(C40,'Master Food List'!master_food_list,11,FALSE)</f>
        <v>24.1</v>
      </c>
      <c r="G40" s="221">
        <f t="shared" si="2"/>
        <v>24.1</v>
      </c>
      <c r="H40" s="113" t="s">
        <v>548</v>
      </c>
      <c r="I40" s="232">
        <v>43241</v>
      </c>
      <c r="J40" s="105">
        <v>10</v>
      </c>
      <c r="K40" s="105">
        <v>1</v>
      </c>
      <c r="L40" s="105">
        <v>19.61</v>
      </c>
      <c r="M40" s="105">
        <v>2.5</v>
      </c>
      <c r="N40" s="105">
        <v>4</v>
      </c>
      <c r="O40" s="122" t="s">
        <v>395</v>
      </c>
      <c r="P40" s="109" t="s">
        <v>394</v>
      </c>
      <c r="Q40" s="105"/>
    </row>
    <row r="41" spans="1:17" ht="102" outlineLevel="2" x14ac:dyDescent="0.2">
      <c r="A41" s="105" t="s">
        <v>234</v>
      </c>
      <c r="B41" s="105" t="s">
        <v>274</v>
      </c>
      <c r="C41" s="109" t="s">
        <v>320</v>
      </c>
      <c r="D41" s="105" t="str">
        <f>VLOOKUP(C41,'Master Food List'!master_food_list,4,FALSE)</f>
        <v>#10 Can*</v>
      </c>
      <c r="E41" s="225">
        <f>VLOOKUP(C41,'Master Food List'!master_food_list,12,FALSE)</f>
        <v>2</v>
      </c>
      <c r="F41" s="219">
        <f>VLOOKUP(C41,'Master Food List'!master_food_list,11,FALSE)</f>
        <v>30.46</v>
      </c>
      <c r="G41" s="221">
        <f t="shared" si="2"/>
        <v>60.92</v>
      </c>
      <c r="H41" s="113" t="s">
        <v>548</v>
      </c>
      <c r="I41" s="232">
        <v>43242</v>
      </c>
      <c r="J41" s="105">
        <v>20</v>
      </c>
      <c r="K41" s="105">
        <v>0.5</v>
      </c>
      <c r="L41" s="105">
        <v>39.51</v>
      </c>
      <c r="M41" s="105">
        <v>2</v>
      </c>
      <c r="N41" s="105">
        <v>10</v>
      </c>
      <c r="O41" s="122" t="s">
        <v>319</v>
      </c>
      <c r="P41" s="109" t="s">
        <v>404</v>
      </c>
      <c r="Q41" s="105"/>
    </row>
    <row r="42" spans="1:17" ht="102" outlineLevel="2" x14ac:dyDescent="0.2">
      <c r="A42" s="105" t="s">
        <v>234</v>
      </c>
      <c r="B42" s="105" t="s">
        <v>274</v>
      </c>
      <c r="C42" s="109" t="s">
        <v>313</v>
      </c>
      <c r="D42" s="105" t="str">
        <f>VLOOKUP(C42,'Master Food List'!master_food_list,4,FALSE)</f>
        <v>12-pack</v>
      </c>
      <c r="E42" s="225">
        <f>VLOOKUP(C42,'Master Food List'!master_food_list,12,FALSE)</f>
        <v>1</v>
      </c>
      <c r="F42" s="219">
        <f>VLOOKUP(C42,'Master Food List'!master_food_list,11,FALSE)</f>
        <v>35.880000000000003</v>
      </c>
      <c r="G42" s="221">
        <f t="shared" si="2"/>
        <v>35.880000000000003</v>
      </c>
      <c r="H42" s="113" t="s">
        <v>548</v>
      </c>
      <c r="I42" s="232">
        <v>43242</v>
      </c>
      <c r="J42" s="105">
        <v>12</v>
      </c>
      <c r="K42" s="105">
        <v>1</v>
      </c>
      <c r="L42" s="105">
        <v>13.559999999999999</v>
      </c>
      <c r="M42" s="105">
        <v>1</v>
      </c>
      <c r="N42" s="105">
        <v>12</v>
      </c>
      <c r="O42" s="122" t="s">
        <v>311</v>
      </c>
      <c r="P42" s="109"/>
      <c r="Q42" s="105"/>
    </row>
    <row r="43" spans="1:17" ht="102" outlineLevel="2" x14ac:dyDescent="0.2">
      <c r="A43" s="105" t="s">
        <v>234</v>
      </c>
      <c r="B43" s="105" t="s">
        <v>274</v>
      </c>
      <c r="C43" s="109" t="s">
        <v>294</v>
      </c>
      <c r="D43" s="105" t="str">
        <f>VLOOKUP(C43,'Master Food List'!master_food_list,4,FALSE)</f>
        <v>#10 Can*</v>
      </c>
      <c r="E43" s="225">
        <f>VLOOKUP(C43,'Master Food List'!master_food_list,12,FALSE)</f>
        <v>2</v>
      </c>
      <c r="F43" s="219">
        <f>VLOOKUP(C43,'Master Food List'!master_food_list,11,FALSE)</f>
        <v>25.48</v>
      </c>
      <c r="G43" s="221">
        <f t="shared" si="2"/>
        <v>50.96</v>
      </c>
      <c r="H43" s="113" t="s">
        <v>548</v>
      </c>
      <c r="I43" s="232">
        <v>43607</v>
      </c>
      <c r="J43" s="105">
        <v>9</v>
      </c>
      <c r="K43" s="105">
        <v>1.25</v>
      </c>
      <c r="L43" s="105">
        <v>20.420000000000002</v>
      </c>
      <c r="M43" s="105">
        <v>3</v>
      </c>
      <c r="N43" s="105">
        <v>3</v>
      </c>
      <c r="O43" s="122" t="s">
        <v>293</v>
      </c>
      <c r="P43" s="144" t="s">
        <v>292</v>
      </c>
      <c r="Q43" s="105"/>
    </row>
    <row r="44" spans="1:17" ht="102" outlineLevel="2" x14ac:dyDescent="0.2">
      <c r="A44" s="105" t="s">
        <v>234</v>
      </c>
      <c r="B44" s="105" t="s">
        <v>428</v>
      </c>
      <c r="C44" s="109" t="s">
        <v>427</v>
      </c>
      <c r="D44" s="105" t="str">
        <f>VLOOKUP(C44,'Master Food List'!master_food_list,4,FALSE)</f>
        <v>Jar</v>
      </c>
      <c r="E44" s="225">
        <f>VLOOKUP(C44,'Master Food List'!master_food_list,12,FALSE)</f>
        <v>1</v>
      </c>
      <c r="F44" s="219">
        <f>VLOOKUP(C44,'Master Food List'!master_food_list,11,FALSE)</f>
        <v>18.989999999999998</v>
      </c>
      <c r="G44" s="221">
        <f t="shared" si="2"/>
        <v>18.989999999999998</v>
      </c>
      <c r="H44" s="113" t="s">
        <v>548</v>
      </c>
      <c r="I44" s="232">
        <v>43241</v>
      </c>
      <c r="J44" s="105">
        <v>39</v>
      </c>
      <c r="K44" s="105">
        <v>3</v>
      </c>
      <c r="L44" s="105">
        <v>39</v>
      </c>
      <c r="M44" s="105">
        <v>2</v>
      </c>
      <c r="N44" s="105">
        <v>19.5</v>
      </c>
      <c r="O44" s="122" t="s">
        <v>429</v>
      </c>
      <c r="P44" s="105"/>
      <c r="Q44" s="105"/>
    </row>
    <row r="45" spans="1:17" ht="102" outlineLevel="2" x14ac:dyDescent="0.2">
      <c r="A45" s="105" t="s">
        <v>234</v>
      </c>
      <c r="B45" s="105" t="s">
        <v>239</v>
      </c>
      <c r="C45" s="109" t="s">
        <v>400</v>
      </c>
      <c r="D45" s="105" t="str">
        <f>VLOOKUP(C45,'Master Food List'!master_food_list,4,FALSE)</f>
        <v>Box</v>
      </c>
      <c r="E45" s="225">
        <f>VLOOKUP(C45,'Master Food List'!master_food_list,12,FALSE)</f>
        <v>1</v>
      </c>
      <c r="F45" s="219">
        <f>VLOOKUP(C45,'Master Food List'!master_food_list,11,FALSE)</f>
        <v>22.99</v>
      </c>
      <c r="G45" s="221">
        <f t="shared" si="2"/>
        <v>22.99</v>
      </c>
      <c r="H45" s="113" t="s">
        <v>548</v>
      </c>
      <c r="I45" s="232">
        <v>43607</v>
      </c>
      <c r="J45" s="105">
        <v>24</v>
      </c>
      <c r="K45" s="105">
        <v>1</v>
      </c>
      <c r="L45" s="105">
        <v>2.8</v>
      </c>
      <c r="M45" s="105">
        <v>1</v>
      </c>
      <c r="N45" s="113">
        <v>24</v>
      </c>
      <c r="O45" s="122" t="s">
        <v>238</v>
      </c>
      <c r="P45" s="109"/>
      <c r="Q45" s="105"/>
    </row>
    <row r="46" spans="1:17" ht="102" outlineLevel="2" x14ac:dyDescent="0.2">
      <c r="A46" s="105" t="s">
        <v>234</v>
      </c>
      <c r="B46" s="105" t="s">
        <v>314</v>
      </c>
      <c r="C46" s="109" t="s">
        <v>315</v>
      </c>
      <c r="D46" s="105" t="str">
        <f>VLOOKUP(C46,'Master Food List'!master_food_list,4,FALSE)</f>
        <v>Pack of 3 boxes</v>
      </c>
      <c r="E46" s="105">
        <f>VLOOKUP(C46,'Master Food List'!master_food_list,12,FALSE)</f>
        <v>1</v>
      </c>
      <c r="F46" s="219">
        <f>VLOOKUP(C46,'Master Food List'!master_food_list,11,FALSE)</f>
        <v>14.06</v>
      </c>
      <c r="G46" s="221">
        <f t="shared" si="2"/>
        <v>14.06</v>
      </c>
      <c r="H46" s="232" t="s">
        <v>685</v>
      </c>
      <c r="I46" s="113"/>
      <c r="J46" s="105">
        <f>8*3</f>
        <v>24</v>
      </c>
      <c r="K46" s="105">
        <v>1</v>
      </c>
      <c r="L46" s="105">
        <f>7.44*3</f>
        <v>22.32</v>
      </c>
      <c r="M46" s="105">
        <v>1</v>
      </c>
      <c r="N46" s="105">
        <f>J46/M46</f>
        <v>24</v>
      </c>
      <c r="O46" s="122" t="s">
        <v>684</v>
      </c>
      <c r="P46" s="109"/>
      <c r="Q46" s="105"/>
    </row>
    <row r="47" spans="1:17" ht="17" outlineLevel="1" x14ac:dyDescent="0.2">
      <c r="A47" s="335" t="s">
        <v>539</v>
      </c>
      <c r="B47" s="335"/>
      <c r="C47" s="336"/>
      <c r="D47" s="335"/>
      <c r="E47" s="335"/>
      <c r="F47" s="337"/>
      <c r="G47" s="338">
        <f>SUBTOTAL(9,G22:G46)</f>
        <v>736.1</v>
      </c>
      <c r="H47" s="340"/>
      <c r="I47" s="341"/>
      <c r="J47" s="335"/>
      <c r="K47" s="335"/>
      <c r="L47" s="335"/>
      <c r="M47" s="335"/>
      <c r="N47" s="335"/>
      <c r="O47" s="339"/>
      <c r="P47" s="336"/>
      <c r="Q47" s="335"/>
    </row>
    <row r="48" spans="1:17" ht="34" outlineLevel="2" x14ac:dyDescent="0.2">
      <c r="A48" s="98" t="s">
        <v>268</v>
      </c>
      <c r="B48" s="105" t="s">
        <v>268</v>
      </c>
      <c r="C48" s="109" t="s">
        <v>505</v>
      </c>
      <c r="D48" s="105" t="str">
        <f>VLOOKUP(C48,'Master Food List'!master_food_list,4,FALSE)</f>
        <v>Pouch</v>
      </c>
      <c r="E48" s="223">
        <f>VLOOKUP(C48,'Master Food List'!master_food_list,12,FALSE)</f>
        <v>4</v>
      </c>
      <c r="F48" s="219">
        <f>VLOOKUP(C48,'Master Food List'!master_food_list,11,FALSE)</f>
        <v>2.6</v>
      </c>
      <c r="G48" s="221">
        <f t="shared" ref="G48:G54" si="4">F48*E48</f>
        <v>10.4</v>
      </c>
      <c r="H48" s="105" t="s">
        <v>546</v>
      </c>
      <c r="I48" s="232">
        <v>43247</v>
      </c>
      <c r="J48" s="105">
        <v>2</v>
      </c>
      <c r="K48" s="105">
        <v>0.5</v>
      </c>
      <c r="L48" s="105">
        <v>4.5</v>
      </c>
      <c r="M48" s="105">
        <v>2</v>
      </c>
      <c r="N48" s="105">
        <v>1</v>
      </c>
      <c r="O48" s="122" t="s">
        <v>506</v>
      </c>
      <c r="P48" s="109" t="s">
        <v>507</v>
      </c>
      <c r="Q48" s="105"/>
    </row>
    <row r="49" spans="1:17" ht="34" outlineLevel="2" x14ac:dyDescent="0.2">
      <c r="A49" s="105" t="s">
        <v>268</v>
      </c>
      <c r="B49" s="105" t="s">
        <v>268</v>
      </c>
      <c r="C49" s="109" t="s">
        <v>331</v>
      </c>
      <c r="D49" s="105" t="str">
        <f>VLOOKUP(C49,'Master Food List'!master_food_list,4,FALSE)</f>
        <v>Pouch</v>
      </c>
      <c r="E49" s="223">
        <f>VLOOKUP(C49,'Master Food List'!master_food_list,12,FALSE)</f>
        <v>10</v>
      </c>
      <c r="F49" s="219">
        <f>VLOOKUP(C49,'Master Food List'!master_food_list,11,FALSE)</f>
        <v>6</v>
      </c>
      <c r="G49" s="221">
        <f t="shared" si="4"/>
        <v>60</v>
      </c>
      <c r="H49" s="105" t="s">
        <v>546</v>
      </c>
      <c r="I49" s="235">
        <v>43247</v>
      </c>
      <c r="J49" s="105">
        <v>2</v>
      </c>
      <c r="K49" s="105">
        <v>0.5</v>
      </c>
      <c r="L49" s="105">
        <v>4.5999999999999996</v>
      </c>
      <c r="M49" s="105">
        <v>2</v>
      </c>
      <c r="N49" s="105">
        <v>1</v>
      </c>
      <c r="O49" s="122" t="s">
        <v>330</v>
      </c>
      <c r="P49" s="109" t="s">
        <v>401</v>
      </c>
      <c r="Q49" s="105"/>
    </row>
    <row r="50" spans="1:17" ht="34" outlineLevel="2" x14ac:dyDescent="0.2">
      <c r="A50" s="105" t="s">
        <v>268</v>
      </c>
      <c r="B50" s="105" t="s">
        <v>268</v>
      </c>
      <c r="C50" s="109" t="s">
        <v>329</v>
      </c>
      <c r="D50" s="105" t="str">
        <f>VLOOKUP(C50,'Master Food List'!master_food_list,4,FALSE)</f>
        <v>Pouch</v>
      </c>
      <c r="E50" s="223">
        <f>VLOOKUP(C50,'Master Food List'!master_food_list,12,FALSE)</f>
        <v>9</v>
      </c>
      <c r="F50" s="219">
        <f>VLOOKUP(C50,'Master Food List'!master_food_list,11,FALSE)</f>
        <v>7</v>
      </c>
      <c r="G50" s="221">
        <f t="shared" si="4"/>
        <v>63</v>
      </c>
      <c r="H50" s="105" t="s">
        <v>546</v>
      </c>
      <c r="I50" s="235">
        <v>43247</v>
      </c>
      <c r="J50" s="105">
        <v>2</v>
      </c>
      <c r="K50" s="105">
        <v>0.5</v>
      </c>
      <c r="L50" s="105">
        <v>8.8000000000000007</v>
      </c>
      <c r="M50" s="105">
        <v>2</v>
      </c>
      <c r="N50" s="105">
        <v>1</v>
      </c>
      <c r="O50" s="122" t="s">
        <v>328</v>
      </c>
      <c r="P50" s="109" t="s">
        <v>402</v>
      </c>
      <c r="Q50" s="105"/>
    </row>
    <row r="51" spans="1:17" ht="34" outlineLevel="2" x14ac:dyDescent="0.2">
      <c r="A51" s="98" t="s">
        <v>268</v>
      </c>
      <c r="B51" s="105" t="s">
        <v>268</v>
      </c>
      <c r="C51" s="109" t="s">
        <v>519</v>
      </c>
      <c r="D51" s="105" t="str">
        <f>VLOOKUP(C51,'Master Food List'!master_food_list,4,FALSE)</f>
        <v>Pouch</v>
      </c>
      <c r="E51" s="223">
        <f>VLOOKUP(C51,'Master Food List'!master_food_list,12,FALSE)</f>
        <v>2</v>
      </c>
      <c r="F51" s="219">
        <f>VLOOKUP(C51,'Master Food List'!master_food_list,11,FALSE)</f>
        <v>4</v>
      </c>
      <c r="G51" s="221">
        <f t="shared" si="4"/>
        <v>8</v>
      </c>
      <c r="H51" s="105" t="s">
        <v>546</v>
      </c>
      <c r="I51" s="235">
        <v>43247</v>
      </c>
      <c r="J51" s="105">
        <v>2</v>
      </c>
      <c r="K51" s="105">
        <v>0.5</v>
      </c>
      <c r="L51" s="105">
        <v>3.2</v>
      </c>
      <c r="M51" s="105">
        <v>2</v>
      </c>
      <c r="N51" s="105">
        <v>1</v>
      </c>
      <c r="O51" s="122" t="s">
        <v>520</v>
      </c>
      <c r="P51" s="109" t="s">
        <v>521</v>
      </c>
      <c r="Q51" s="129"/>
    </row>
    <row r="52" spans="1:17" ht="119" outlineLevel="2" x14ac:dyDescent="0.2">
      <c r="A52" s="105" t="s">
        <v>268</v>
      </c>
      <c r="B52" s="98" t="s">
        <v>268</v>
      </c>
      <c r="C52" s="130" t="s">
        <v>480</v>
      </c>
      <c r="D52" s="105" t="str">
        <f>VLOOKUP(C52,'Master Food List'!master_food_list,4,FALSE)</f>
        <v>Pouch</v>
      </c>
      <c r="E52" s="223">
        <f>VLOOKUP(C52,'Master Food List'!master_food_list,12,FALSE)</f>
        <v>12</v>
      </c>
      <c r="F52" s="219">
        <f>VLOOKUP(C52,'Master Food List'!master_food_list,11,FALSE)</f>
        <v>8</v>
      </c>
      <c r="G52" s="221">
        <f t="shared" si="4"/>
        <v>96</v>
      </c>
      <c r="H52" s="105" t="s">
        <v>546</v>
      </c>
      <c r="I52" s="232">
        <v>43247</v>
      </c>
      <c r="J52" s="98">
        <v>2</v>
      </c>
      <c r="K52" s="98">
        <v>0.5</v>
      </c>
      <c r="L52" s="98">
        <v>9.5</v>
      </c>
      <c r="M52" s="98">
        <v>1</v>
      </c>
      <c r="N52" s="98">
        <v>2</v>
      </c>
      <c r="O52" s="122" t="s">
        <v>321</v>
      </c>
      <c r="P52" s="144" t="s">
        <v>403</v>
      </c>
      <c r="Q52" s="105"/>
    </row>
    <row r="53" spans="1:17" ht="34" outlineLevel="2" x14ac:dyDescent="0.2">
      <c r="A53" s="105" t="s">
        <v>268</v>
      </c>
      <c r="B53" s="105" t="s">
        <v>268</v>
      </c>
      <c r="C53" s="109" t="s">
        <v>271</v>
      </c>
      <c r="D53" s="105" t="str">
        <f>VLOOKUP(C53,'Master Food List'!master_food_list,4,FALSE)</f>
        <v>Pouch</v>
      </c>
      <c r="E53" s="223">
        <f>VLOOKUP(C53,'Master Food List'!master_food_list,12,FALSE)</f>
        <v>7</v>
      </c>
      <c r="F53" s="219">
        <f>VLOOKUP(C53,'Master Food List'!master_food_list,11,FALSE)</f>
        <v>9</v>
      </c>
      <c r="G53" s="221">
        <f t="shared" si="4"/>
        <v>63</v>
      </c>
      <c r="H53" s="105" t="s">
        <v>546</v>
      </c>
      <c r="I53" s="232">
        <v>43247</v>
      </c>
      <c r="J53" s="105">
        <v>2</v>
      </c>
      <c r="K53" s="105">
        <v>0.5</v>
      </c>
      <c r="L53" s="105">
        <v>8.1</v>
      </c>
      <c r="M53" s="105">
        <v>2</v>
      </c>
      <c r="N53" s="105">
        <v>1</v>
      </c>
      <c r="O53" s="122" t="s">
        <v>270</v>
      </c>
      <c r="P53" s="109" t="s">
        <v>417</v>
      </c>
      <c r="Q53" s="105"/>
    </row>
    <row r="54" spans="1:17" ht="34" outlineLevel="2" x14ac:dyDescent="0.2">
      <c r="A54" s="105" t="s">
        <v>268</v>
      </c>
      <c r="B54" s="105" t="s">
        <v>268</v>
      </c>
      <c r="C54" s="109" t="s">
        <v>269</v>
      </c>
      <c r="D54" s="105" t="str">
        <f>VLOOKUP(C54,'Master Food List'!master_food_list,4,FALSE)</f>
        <v>Pouch</v>
      </c>
      <c r="E54" s="223">
        <f>VLOOKUP(C54,'Master Food List'!master_food_list,12,FALSE)</f>
        <v>3</v>
      </c>
      <c r="F54" s="219">
        <f>VLOOKUP(C54,'Master Food List'!master_food_list,11,FALSE)</f>
        <v>9</v>
      </c>
      <c r="G54" s="221">
        <f t="shared" si="4"/>
        <v>27</v>
      </c>
      <c r="H54" s="105" t="s">
        <v>546</v>
      </c>
      <c r="I54" s="235">
        <v>43247</v>
      </c>
      <c r="J54" s="105">
        <v>2</v>
      </c>
      <c r="K54" s="105">
        <v>0.5</v>
      </c>
      <c r="L54" s="105">
        <v>7.1</v>
      </c>
      <c r="M54" s="105">
        <v>2</v>
      </c>
      <c r="N54" s="105">
        <v>1</v>
      </c>
      <c r="O54" s="122" t="s">
        <v>267</v>
      </c>
      <c r="P54" s="109" t="s">
        <v>423</v>
      </c>
      <c r="Q54" s="105"/>
    </row>
    <row r="55" spans="1:17" ht="34" outlineLevel="1" x14ac:dyDescent="0.2">
      <c r="A55" s="335" t="s">
        <v>540</v>
      </c>
      <c r="B55" s="335"/>
      <c r="C55" s="336"/>
      <c r="D55" s="335"/>
      <c r="E55" s="342"/>
      <c r="F55" s="337"/>
      <c r="G55" s="338">
        <f>SUBTOTAL(9,G48:G54)</f>
        <v>327.39999999999998</v>
      </c>
      <c r="H55" s="335"/>
      <c r="I55" s="340"/>
      <c r="J55" s="335"/>
      <c r="K55" s="335"/>
      <c r="L55" s="335"/>
      <c r="M55" s="335"/>
      <c r="N55" s="335"/>
      <c r="O55" s="339"/>
      <c r="P55" s="336"/>
      <c r="Q55" s="335"/>
    </row>
    <row r="56" spans="1:17" ht="85" outlineLevel="2" x14ac:dyDescent="0.2">
      <c r="A56" s="105" t="s">
        <v>591</v>
      </c>
      <c r="B56" s="105" t="s">
        <v>334</v>
      </c>
      <c r="C56" s="109" t="s">
        <v>396</v>
      </c>
      <c r="D56" s="105" t="s">
        <v>415</v>
      </c>
      <c r="E56" s="105">
        <v>3</v>
      </c>
      <c r="F56" s="219">
        <v>1.49</v>
      </c>
      <c r="G56" s="221">
        <f>F56*E56</f>
        <v>4.47</v>
      </c>
      <c r="H56" s="105"/>
      <c r="I56" s="232">
        <v>43242</v>
      </c>
      <c r="J56" s="105">
        <v>1</v>
      </c>
      <c r="K56" s="105">
        <v>1</v>
      </c>
      <c r="L56" s="105">
        <v>2.4</v>
      </c>
      <c r="M56" s="105">
        <v>1</v>
      </c>
      <c r="N56" s="105">
        <v>1</v>
      </c>
      <c r="O56" s="122" t="s">
        <v>335</v>
      </c>
      <c r="P56" s="105" t="s">
        <v>531</v>
      </c>
      <c r="Q56" s="105"/>
    </row>
    <row r="57" spans="1:17" ht="102" outlineLevel="2" x14ac:dyDescent="0.2">
      <c r="A57" s="105" t="s">
        <v>591</v>
      </c>
      <c r="B57" s="105" t="s">
        <v>334</v>
      </c>
      <c r="C57" s="109" t="s">
        <v>397</v>
      </c>
      <c r="D57" s="105" t="str">
        <f>VLOOKUP(C57,'Master Food List'!master_food_list,4,FALSE)</f>
        <v>Bar</v>
      </c>
      <c r="E57" s="105">
        <f>VLOOKUP(C57,'Master Food List'!master_food_list,12,FALSE)</f>
        <v>3</v>
      </c>
      <c r="F57" s="219">
        <v>1.49</v>
      </c>
      <c r="G57" s="221">
        <f>F57*E57</f>
        <v>4.47</v>
      </c>
      <c r="H57" s="105"/>
      <c r="I57" s="232">
        <v>43242</v>
      </c>
      <c r="J57" s="105">
        <v>1</v>
      </c>
      <c r="K57" s="105">
        <v>1</v>
      </c>
      <c r="L57" s="105">
        <v>2.4</v>
      </c>
      <c r="M57" s="105">
        <v>1</v>
      </c>
      <c r="N57" s="105">
        <v>1</v>
      </c>
      <c r="O57" s="122" t="s">
        <v>398</v>
      </c>
      <c r="P57" s="105" t="s">
        <v>531</v>
      </c>
      <c r="Q57" s="105"/>
    </row>
    <row r="58" spans="1:17" ht="17" outlineLevel="1" x14ac:dyDescent="0.2">
      <c r="A58" s="335" t="s">
        <v>592</v>
      </c>
      <c r="B58" s="335"/>
      <c r="C58" s="336"/>
      <c r="D58" s="335"/>
      <c r="E58" s="335"/>
      <c r="F58" s="337"/>
      <c r="G58" s="338">
        <f>SUBTOTAL(9,G56:G57)</f>
        <v>8.94</v>
      </c>
      <c r="H58" s="335"/>
      <c r="I58" s="340"/>
      <c r="J58" s="335"/>
      <c r="K58" s="335"/>
      <c r="L58" s="335"/>
      <c r="M58" s="335"/>
      <c r="N58" s="335"/>
      <c r="O58" s="339"/>
      <c r="P58" s="335"/>
      <c r="Q58" s="335"/>
    </row>
    <row r="59" spans="1:17" ht="34" outlineLevel="2" x14ac:dyDescent="0.2">
      <c r="A59" s="98" t="s">
        <v>289</v>
      </c>
      <c r="B59" s="105" t="s">
        <v>289</v>
      </c>
      <c r="C59" s="109" t="s">
        <v>354</v>
      </c>
      <c r="D59" s="105" t="str">
        <f>VLOOKUP(C59,'Master Food List'!master_food_list,4,FALSE)</f>
        <v>Pouch</v>
      </c>
      <c r="E59" s="105">
        <f>VLOOKUP(C59,'Master Food List'!master_food_list,12,FALSE)</f>
        <v>8</v>
      </c>
      <c r="F59" s="219">
        <f>VLOOKUP(C59,'Master Food List'!master_food_list,11,FALSE)</f>
        <v>4.99</v>
      </c>
      <c r="G59" s="221">
        <f>F59*E59</f>
        <v>39.92</v>
      </c>
      <c r="H59" s="105" t="s">
        <v>550</v>
      </c>
      <c r="I59" s="232">
        <v>43250</v>
      </c>
      <c r="J59" s="105">
        <v>3</v>
      </c>
      <c r="K59" s="105">
        <v>0.5</v>
      </c>
      <c r="L59" s="105">
        <v>2.4</v>
      </c>
      <c r="M59" s="105">
        <v>3</v>
      </c>
      <c r="N59" s="105">
        <v>1</v>
      </c>
      <c r="O59" s="122" t="s">
        <v>353</v>
      </c>
      <c r="P59" s="129"/>
      <c r="Q59" s="129"/>
    </row>
    <row r="60" spans="1:17" ht="34" outlineLevel="2" x14ac:dyDescent="0.2">
      <c r="A60" s="105" t="s">
        <v>289</v>
      </c>
      <c r="B60" s="105" t="s">
        <v>289</v>
      </c>
      <c r="C60" s="109" t="s">
        <v>347</v>
      </c>
      <c r="D60" s="105" t="str">
        <f>VLOOKUP(C60,'Master Food List'!master_food_list,4,FALSE)</f>
        <v>Pouch</v>
      </c>
      <c r="E60" s="105">
        <f>VLOOKUP(C60,'Master Food List'!master_food_list,12,FALSE)</f>
        <v>14</v>
      </c>
      <c r="F60" s="219">
        <f>VLOOKUP(C60,'Master Food List'!master_food_list,11,FALSE)</f>
        <v>6.19</v>
      </c>
      <c r="G60" s="221">
        <f>F60*E60</f>
        <v>86.660000000000011</v>
      </c>
      <c r="H60" s="105" t="s">
        <v>550</v>
      </c>
      <c r="I60" s="232">
        <v>43250</v>
      </c>
      <c r="J60" s="105">
        <v>3.5</v>
      </c>
      <c r="K60" s="105">
        <v>0.25</v>
      </c>
      <c r="L60" s="105">
        <v>3.68</v>
      </c>
      <c r="M60" s="105">
        <v>3.5</v>
      </c>
      <c r="N60" s="105">
        <v>1</v>
      </c>
      <c r="O60" s="122" t="s">
        <v>346</v>
      </c>
      <c r="P60" s="105"/>
      <c r="Q60" s="105"/>
    </row>
    <row r="61" spans="1:17" ht="34" outlineLevel="2" x14ac:dyDescent="0.2">
      <c r="A61" s="105" t="s">
        <v>289</v>
      </c>
      <c r="B61" s="105" t="s">
        <v>289</v>
      </c>
      <c r="C61" s="109" t="s">
        <v>333</v>
      </c>
      <c r="D61" s="105" t="str">
        <f>VLOOKUP(C61,'Master Food List'!master_food_list,4,FALSE)</f>
        <v>Pouch</v>
      </c>
      <c r="E61" s="105">
        <f>VLOOKUP(C61,'Master Food List'!master_food_list,12,FALSE)</f>
        <v>8</v>
      </c>
      <c r="F61" s="219">
        <f>VLOOKUP(C61,'Master Food List'!master_food_list,11,FALSE)</f>
        <v>6.49</v>
      </c>
      <c r="G61" s="221">
        <f>F61*E61</f>
        <v>51.92</v>
      </c>
      <c r="H61" s="105" t="s">
        <v>550</v>
      </c>
      <c r="I61" s="232">
        <v>43250</v>
      </c>
      <c r="J61" s="105">
        <v>2.5</v>
      </c>
      <c r="K61" s="105">
        <v>0.5</v>
      </c>
      <c r="L61" s="105">
        <v>2.08</v>
      </c>
      <c r="M61" s="105">
        <v>2.5</v>
      </c>
      <c r="N61" s="105">
        <v>1</v>
      </c>
      <c r="O61" s="122" t="s">
        <v>332</v>
      </c>
      <c r="P61" s="105"/>
      <c r="Q61" s="105"/>
    </row>
    <row r="62" spans="1:17" ht="17" outlineLevel="1" x14ac:dyDescent="0.2">
      <c r="A62" s="335" t="s">
        <v>541</v>
      </c>
      <c r="B62" s="335"/>
      <c r="C62" s="336"/>
      <c r="D62" s="335"/>
      <c r="E62" s="335"/>
      <c r="F62" s="337"/>
      <c r="G62" s="338">
        <f>SUBTOTAL(9,G59:G61)</f>
        <v>178.5</v>
      </c>
      <c r="H62" s="335"/>
      <c r="I62" s="340"/>
      <c r="J62" s="335"/>
      <c r="K62" s="335"/>
      <c r="L62" s="335"/>
      <c r="M62" s="335"/>
      <c r="N62" s="335"/>
      <c r="O62" s="339"/>
      <c r="P62" s="335"/>
      <c r="Q62" s="335"/>
    </row>
    <row r="63" spans="1:17" ht="17" x14ac:dyDescent="0.2">
      <c r="A63" s="104" t="s">
        <v>532</v>
      </c>
      <c r="B63" s="105"/>
      <c r="C63" s="109"/>
      <c r="D63" s="105"/>
      <c r="E63" s="105"/>
      <c r="F63" s="219"/>
      <c r="G63" s="221">
        <f>SUBTOTAL(9,G3:G61)</f>
        <v>1593.1000000000001</v>
      </c>
      <c r="H63" s="105"/>
      <c r="I63" s="232"/>
      <c r="J63" s="105"/>
      <c r="K63" s="105"/>
      <c r="L63" s="105"/>
      <c r="M63" s="105"/>
      <c r="N63" s="105"/>
      <c r="O63" s="122"/>
      <c r="P63" s="105"/>
      <c r="Q63" s="105"/>
    </row>
    <row r="67" spans="1:3" ht="17" x14ac:dyDescent="0.2">
      <c r="A67" s="222" t="s">
        <v>542</v>
      </c>
    </row>
    <row r="68" spans="1:3" ht="34" x14ac:dyDescent="0.2">
      <c r="A68" s="105" t="s">
        <v>268</v>
      </c>
      <c r="B68" s="178" t="s">
        <v>544</v>
      </c>
      <c r="C68" s="221">
        <v>-49.11</v>
      </c>
    </row>
    <row r="69" spans="1:3" ht="17" x14ac:dyDescent="0.2">
      <c r="A69" s="105" t="s">
        <v>172</v>
      </c>
      <c r="B69" s="227">
        <f>C68</f>
        <v>-49.11</v>
      </c>
      <c r="C69" s="221"/>
    </row>
    <row r="70" spans="1:3" x14ac:dyDescent="0.2">
      <c r="A70" s="105"/>
    </row>
    <row r="71" spans="1:3" ht="17" x14ac:dyDescent="0.2">
      <c r="A71" s="226" t="s">
        <v>543</v>
      </c>
    </row>
    <row r="72" spans="1:3" ht="17" x14ac:dyDescent="0.2">
      <c r="A72" s="106" t="s">
        <v>268</v>
      </c>
      <c r="B72" s="178" t="s">
        <v>545</v>
      </c>
      <c r="C72" s="221">
        <v>0</v>
      </c>
    </row>
    <row r="73" spans="1:3" ht="17" x14ac:dyDescent="0.2">
      <c r="A73" s="106" t="s">
        <v>234</v>
      </c>
      <c r="B73" s="178" t="s">
        <v>545</v>
      </c>
      <c r="C73" s="221">
        <v>0</v>
      </c>
    </row>
    <row r="74" spans="1:3" ht="17" x14ac:dyDescent="0.2">
      <c r="A74" s="106" t="s">
        <v>249</v>
      </c>
      <c r="B74" s="178" t="s">
        <v>545</v>
      </c>
      <c r="C74" s="221">
        <v>0</v>
      </c>
    </row>
    <row r="75" spans="1:3" ht="17" x14ac:dyDescent="0.2">
      <c r="A75" s="106" t="s">
        <v>289</v>
      </c>
      <c r="B75" s="178" t="s">
        <v>545</v>
      </c>
      <c r="C75" s="221">
        <v>15</v>
      </c>
    </row>
    <row r="76" spans="1:3" ht="17" x14ac:dyDescent="0.2">
      <c r="A76" s="105" t="s">
        <v>172</v>
      </c>
      <c r="B76" s="227">
        <f>SUM(C72:C75)</f>
        <v>15</v>
      </c>
    </row>
    <row r="77" spans="1:3" x14ac:dyDescent="0.2">
      <c r="A77" s="105"/>
    </row>
    <row r="78" spans="1:3" ht="17" x14ac:dyDescent="0.2">
      <c r="A78" s="158" t="s">
        <v>547</v>
      </c>
      <c r="B78" s="228">
        <f>G63+B69+B76</f>
        <v>1558.9900000000002</v>
      </c>
    </row>
  </sheetData>
  <sortState ref="A4:Q66">
    <sortCondition ref="A4:A61"/>
    <sortCondition ref="B4:B61"/>
    <sortCondition ref="C4:C61"/>
  </sortState>
  <mergeCells count="1">
    <mergeCell ref="A1:Q1"/>
  </mergeCells>
  <hyperlinks>
    <hyperlink ref="O36" r:id="rId1" xr:uid="{02C1F263-6C0E-BE44-B331-CBA69E128B80}"/>
    <hyperlink ref="O59" r:id="rId2" xr:uid="{F68DCD6A-67E7-7747-8753-C530545F7107}"/>
    <hyperlink ref="P36" r:id="rId3" xr:uid="{45A33425-3B2D-164B-A2ED-C33E407ACA48}"/>
    <hyperlink ref="O37" r:id="rId4" xr:uid="{A96D570F-EA3B-1941-B074-18A2D2F560C5}"/>
    <hyperlink ref="O60" r:id="rId5" xr:uid="{9241E771-9433-184A-A1DD-1B0F7E53DEF0}"/>
    <hyperlink ref="O4" r:id="rId6" xr:uid="{93649E66-7C39-6442-A398-3F77241EF5A2}"/>
    <hyperlink ref="O39" r:id="rId7" xr:uid="{B3AE173B-085C-BB4F-8EC6-AF2E60B82BDB}"/>
    <hyperlink ref="O5" r:id="rId8" xr:uid="{5196CD23-519A-3E41-A7A3-3846B72DDAC9}"/>
    <hyperlink ref="O61" r:id="rId9" xr:uid="{72E85DCD-63A6-A047-B1C2-09CB2F4D4D13}"/>
    <hyperlink ref="O40" r:id="rId10" xr:uid="{5F15BE8F-7E41-5C40-9DEF-E6FD600ACCD9}"/>
    <hyperlink ref="O57" r:id="rId11" xr:uid="{14AEEA34-BD3E-3A4D-A0EA-4B3F5D235A54}"/>
    <hyperlink ref="O14" r:id="rId12" xr:uid="{ACF25D6D-8158-FD40-A18C-B1FD2B23593E}"/>
    <hyperlink ref="O48" r:id="rId13" xr:uid="{C1F87F56-E4BE-214C-9889-826200D76134}"/>
    <hyperlink ref="O38" r:id="rId14" xr:uid="{4735D7D3-AC38-F843-9D8E-8A682CAB1E9F}"/>
    <hyperlink ref="O41" r:id="rId15" xr:uid="{AB511FBB-2AB6-9B49-A27B-167434D0831D}"/>
    <hyperlink ref="O52" r:id="rId16" xr:uid="{C7DA3753-F923-604A-8C26-A5F900BB772F}"/>
    <hyperlink ref="O50" r:id="rId17" xr:uid="{6F60EAB9-7704-A349-BEEE-FCB7A55A1C8D}"/>
    <hyperlink ref="O49" r:id="rId18" xr:uid="{3BB6E036-2770-9445-832D-EC5430A53F16}"/>
    <hyperlink ref="O24" r:id="rId19" xr:uid="{A76BAC92-5B43-CB42-8147-2E2A7DEA50C6}"/>
    <hyperlink ref="O25" r:id="rId20" xr:uid="{D9437F9F-820A-214A-97FF-A25529177791}"/>
    <hyperlink ref="O51" r:id="rId21" xr:uid="{22CC8596-A600-7049-AA70-467DE78FCA73}"/>
    <hyperlink ref="O42" r:id="rId22" xr:uid="{1C20DCDA-2AF4-0E4E-87DD-7F0534AFDFF4}"/>
    <hyperlink ref="O33" r:id="rId23" xr:uid="{1904723B-FE9B-3044-9F08-CE0FA63DDF9F}"/>
    <hyperlink ref="O34" r:id="rId24" xr:uid="{346BCA07-3E82-3644-8CB7-221ADA0F8B90}"/>
    <hyperlink ref="O35" r:id="rId25" xr:uid="{86F70547-D36C-DE4A-968B-55EF9444505D}"/>
    <hyperlink ref="O22" r:id="rId26" xr:uid="{4E5D1024-DA88-6D47-9B1F-A091D2A17BCE}"/>
    <hyperlink ref="O8" r:id="rId27" xr:uid="{6EA5D809-DFD4-514C-A3DE-5E3702BA2BEE}"/>
    <hyperlink ref="O43" r:id="rId28" xr:uid="{91AE9895-CAD2-8D4E-B18C-3F58D44D9C16}"/>
    <hyperlink ref="O23" r:id="rId29" xr:uid="{66337A44-1765-D042-8C37-86D3098D0499}"/>
    <hyperlink ref="O54" r:id="rId30" xr:uid="{CB042DEB-3997-114E-B7F9-D154C65F329F}"/>
    <hyperlink ref="O53" r:id="rId31" xr:uid="{80C4C1E8-A34B-4142-9271-56E1CAC42D7A}"/>
    <hyperlink ref="O19" r:id="rId32" xr:uid="{8DC70BA0-F7BC-3145-880E-54CAA956C590}"/>
    <hyperlink ref="O11" r:id="rId33" xr:uid="{B42E8066-E68D-BB4B-9BF7-F6115A22275B}"/>
    <hyperlink ref="O44" r:id="rId34" xr:uid="{E65B92EF-87DF-524D-AE20-8A2EC06FEDCB}"/>
    <hyperlink ref="O26" r:id="rId35" xr:uid="{0ACE1A3E-EFA1-CF46-AF97-C401D8CF90AE}"/>
    <hyperlink ref="O45" r:id="rId36" xr:uid="{2BD130C1-475A-0F4D-B59C-CE1B8CB43507}"/>
    <hyperlink ref="O13" r:id="rId37" xr:uid="{1F71F654-D517-B540-83C5-2887BB9E5F2E}"/>
    <hyperlink ref="O15" r:id="rId38" xr:uid="{F22241CB-157E-BB4D-99B0-E08E1D70D26B}"/>
    <hyperlink ref="O16" r:id="rId39" xr:uid="{CB3E1974-3FD1-9A4C-A5F3-656364700E7F}"/>
    <hyperlink ref="O17" r:id="rId40" xr:uid="{F1C7A16B-6210-9C46-94BF-61093EB395B5}"/>
    <hyperlink ref="O18" r:id="rId41" xr:uid="{EEE0A134-8FB4-0245-8521-169AA4087E12}"/>
    <hyperlink ref="O20" r:id="rId42" xr:uid="{E95F3F24-7A56-B54E-A38F-43C56672C3D8}"/>
    <hyperlink ref="O56" r:id="rId43" xr:uid="{1B2A4B92-E366-E543-B79A-C856F7ADBE30}"/>
    <hyperlink ref="O46" r:id="rId44" xr:uid="{85D6C538-DC3E-524F-83FB-647E362370A1}"/>
    <hyperlink ref="O27" r:id="rId45" xr:uid="{BB97DE63-04A8-CC47-9E2A-166E03ACB86E}"/>
    <hyperlink ref="O28" r:id="rId46" xr:uid="{11733539-4533-004E-80C6-5CDF23203803}"/>
    <hyperlink ref="O30" r:id="rId47" xr:uid="{0D8B8643-04C3-764C-9E86-286CD1201029}"/>
    <hyperlink ref="O32" r:id="rId48" xr:uid="{60FDF5EF-122D-6845-AEC4-3296128BD49B}"/>
    <hyperlink ref="O31" r:id="rId49" xr:uid="{D14A3123-E6B3-C940-BD81-E4BD0997C104}"/>
    <hyperlink ref="O29" r:id="rId50" xr:uid="{1F74DBE5-DA97-3848-A7D5-A2970EB4EC9D}"/>
  </hyperlinks>
  <printOptions horizontalCentered="1" headings="1"/>
  <pageMargins left="0.25" right="0.25" top="0.75" bottom="0.75" header="0.3" footer="0.3"/>
  <pageSetup scale="36" fitToHeight="0" orientation="landscape" horizontalDpi="0" verticalDpi="0"/>
  <headerFooter>
    <oddHeader>&amp;C&amp;"Calibri Bold,Bold"&amp;14&amp;K000000JMT Hike 2018&amp;"Calibri,Regular"&amp;12
&amp;"Calibri Bold Italic,Bold Italic"Food Order</oddHeader>
  </headerFooter>
  <rowBreaks count="6" manualBreakCount="6">
    <brk id="12" max="16" man="1"/>
    <brk id="21" max="16" man="1"/>
    <brk id="47" max="16" man="1"/>
    <brk id="55" max="16" man="1"/>
    <brk id="58" max="16" man="1"/>
    <brk id="63"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AC11-1AB9-A34F-B341-B208F2D0C48C}">
  <sheetPr>
    <pageSetUpPr fitToPage="1"/>
  </sheetPr>
  <dimension ref="A1:P214"/>
  <sheetViews>
    <sheetView zoomScaleNormal="100" zoomScaleSheetLayoutView="100" workbookViewId="0">
      <pane ySplit="7" topLeftCell="A8" activePane="bottomLeft" state="frozen"/>
      <selection pane="bottomLeft" sqref="A1:K1"/>
    </sheetView>
  </sheetViews>
  <sheetFormatPr baseColWidth="10" defaultRowHeight="16" x14ac:dyDescent="0.2"/>
  <cols>
    <col min="1" max="1" width="8.6640625" style="199" customWidth="1"/>
    <col min="2" max="2" width="11.83203125" style="200" bestFit="1" customWidth="1"/>
    <col min="3" max="3" width="13.1640625" style="200" bestFit="1" customWidth="1"/>
    <col min="4" max="4" width="39.5" style="201" customWidth="1"/>
    <col min="5" max="5" width="10.83203125" style="270"/>
    <col min="6" max="6" width="16.83203125" style="270" bestFit="1" customWidth="1"/>
    <col min="7" max="7" width="10.6640625" style="270" bestFit="1" customWidth="1"/>
    <col min="8" max="8" width="7" style="270" bestFit="1" customWidth="1"/>
    <col min="9" max="9" width="12.83203125" style="270" bestFit="1" customWidth="1"/>
    <col min="10" max="10" width="11.5" style="270" bestFit="1" customWidth="1"/>
    <col min="11" max="11" width="13" style="270" bestFit="1" customWidth="1"/>
    <col min="12" max="12" width="10.83203125" style="202"/>
    <col min="13" max="13" width="91.1640625" style="202" bestFit="1" customWidth="1"/>
    <col min="14" max="14" width="12.33203125" style="202" bestFit="1" customWidth="1"/>
    <col min="15" max="16384" width="10.83203125" style="202"/>
  </cols>
  <sheetData>
    <row r="1" spans="1:16" s="343" customFormat="1" ht="94" customHeight="1" x14ac:dyDescent="0.2">
      <c r="A1" s="452" t="s">
        <v>746</v>
      </c>
      <c r="B1" s="452"/>
      <c r="C1" s="452"/>
      <c r="D1" s="452"/>
      <c r="E1" s="452"/>
      <c r="F1" s="452"/>
      <c r="G1" s="452"/>
      <c r="H1" s="452"/>
      <c r="I1" s="452"/>
      <c r="J1" s="452"/>
      <c r="K1" s="452"/>
      <c r="L1" s="265"/>
    </row>
    <row r="2" spans="1:16" s="160" customFormat="1" ht="43" customHeight="1" x14ac:dyDescent="0.2">
      <c r="A2" s="451" t="s">
        <v>476</v>
      </c>
      <c r="B2" s="451"/>
      <c r="C2" s="451"/>
      <c r="D2" s="451"/>
      <c r="E2" s="451"/>
      <c r="F2" s="451"/>
      <c r="G2" s="451"/>
      <c r="H2" s="451"/>
      <c r="I2" s="451"/>
      <c r="J2" s="451"/>
      <c r="K2" s="451"/>
    </row>
    <row r="3" spans="1:16" s="160" customFormat="1" ht="18" x14ac:dyDescent="0.2">
      <c r="A3" s="167"/>
      <c r="B3" s="273"/>
      <c r="C3" s="275"/>
      <c r="D3" s="275"/>
      <c r="E3" s="275"/>
      <c r="F3" s="275"/>
      <c r="G3" s="275"/>
      <c r="H3" s="275"/>
      <c r="I3" s="275"/>
      <c r="J3" s="275"/>
      <c r="K3" s="275"/>
    </row>
    <row r="4" spans="1:16" s="160" customFormat="1" ht="72" customHeight="1" x14ac:dyDescent="0.2">
      <c r="A4" s="167" t="s">
        <v>473</v>
      </c>
      <c r="B4" s="273" t="s">
        <v>472</v>
      </c>
      <c r="C4" s="166"/>
      <c r="D4" s="451" t="s">
        <v>471</v>
      </c>
      <c r="E4" s="451"/>
      <c r="F4" s="451" t="s">
        <v>470</v>
      </c>
      <c r="G4" s="451"/>
      <c r="H4" s="451"/>
      <c r="I4" s="451"/>
      <c r="J4" s="276"/>
      <c r="K4" s="276"/>
      <c r="L4" s="276"/>
      <c r="M4" s="276"/>
      <c r="N4" s="276"/>
      <c r="O4" s="276"/>
      <c r="P4" s="276"/>
    </row>
    <row r="5" spans="1:16" s="160" customFormat="1" ht="15" customHeight="1" x14ac:dyDescent="0.2">
      <c r="A5" s="165" t="s">
        <v>469</v>
      </c>
      <c r="B5" s="274" t="s">
        <v>468</v>
      </c>
      <c r="C5" s="162"/>
      <c r="D5" s="162"/>
      <c r="E5" s="161"/>
      <c r="F5" s="161"/>
      <c r="G5" s="161"/>
      <c r="H5" s="271"/>
      <c r="I5" s="161"/>
      <c r="J5" s="161"/>
      <c r="K5" s="161"/>
    </row>
    <row r="6" spans="1:16" s="160" customFormat="1" ht="15" customHeight="1" x14ac:dyDescent="0.2">
      <c r="A6" s="165"/>
      <c r="B6" s="164"/>
      <c r="C6" s="162"/>
      <c r="D6" s="162"/>
      <c r="E6" s="161"/>
      <c r="F6" s="161"/>
      <c r="G6" s="161"/>
      <c r="H6" s="271"/>
      <c r="I6" s="161"/>
      <c r="J6" s="161"/>
      <c r="K6" s="161"/>
    </row>
    <row r="7" spans="1:16" s="175" customFormat="1" ht="32" x14ac:dyDescent="0.2">
      <c r="A7" s="173" t="s">
        <v>467</v>
      </c>
      <c r="B7" s="173" t="s">
        <v>466</v>
      </c>
      <c r="C7" s="173" t="s">
        <v>227</v>
      </c>
      <c r="D7" s="173" t="s">
        <v>465</v>
      </c>
      <c r="E7" s="174" t="s">
        <v>368</v>
      </c>
      <c r="F7" s="174" t="s">
        <v>367</v>
      </c>
      <c r="G7" s="174" t="s">
        <v>366</v>
      </c>
      <c r="H7" s="174" t="s">
        <v>365</v>
      </c>
      <c r="I7" s="174" t="s">
        <v>364</v>
      </c>
      <c r="J7" s="174" t="s">
        <v>380</v>
      </c>
      <c r="K7" s="174" t="s">
        <v>464</v>
      </c>
    </row>
    <row r="8" spans="1:16" s="190" customFormat="1" ht="32" x14ac:dyDescent="0.2">
      <c r="A8" s="278">
        <v>0</v>
      </c>
      <c r="B8" s="279" t="s">
        <v>463</v>
      </c>
      <c r="C8" s="279" t="s">
        <v>461</v>
      </c>
      <c r="D8" s="281" t="s">
        <v>495</v>
      </c>
      <c r="E8" s="291"/>
      <c r="F8" s="291"/>
      <c r="G8" s="291"/>
      <c r="H8" s="291"/>
      <c r="I8" s="291"/>
      <c r="J8" s="291"/>
      <c r="K8" s="291"/>
    </row>
    <row r="9" spans="1:16" s="190" customFormat="1" x14ac:dyDescent="0.2">
      <c r="A9" s="278">
        <v>0</v>
      </c>
      <c r="B9" s="279" t="s">
        <v>463</v>
      </c>
      <c r="C9" s="279" t="s">
        <v>460</v>
      </c>
      <c r="D9" s="280" t="s">
        <v>427</v>
      </c>
      <c r="E9" s="291">
        <f ca="1">IF(D9="","",(VLOOKUP($D9,master_food_list,'Master Food List'!N$91,FALSE)))</f>
        <v>300</v>
      </c>
      <c r="F9" s="291">
        <f ca="1">IF(E9="","",(VLOOKUP($D9,master_food_list,'Master Food List'!O$91,FALSE)))</f>
        <v>24</v>
      </c>
      <c r="G9" s="291">
        <f ca="1">IF(F9="","",(VLOOKUP($D9,master_food_list,'Master Food List'!P$91,FALSE)))</f>
        <v>8</v>
      </c>
      <c r="H9" s="291">
        <f ca="1">IF(G9="","",(VLOOKUP($D9,master_food_list,'Master Food List'!Q$91,FALSE)))</f>
        <v>20</v>
      </c>
      <c r="I9" s="291">
        <f ca="1">IF(H9="","",(VLOOKUP($D9,master_food_list,'Master Food List'!R$91,FALSE)))</f>
        <v>120</v>
      </c>
      <c r="J9" s="291">
        <f ca="1">IF(I9="","",(VLOOKUP($D9,master_food_list,'Master Food List'!S$91,FALSE)))</f>
        <v>0</v>
      </c>
      <c r="K9" s="291">
        <f ca="1">IF(J9="","",(VLOOKUP($D9,master_food_list,'Master Food List'!T$91,FALSE)))</f>
        <v>150</v>
      </c>
      <c r="M9" s="243" t="s">
        <v>515</v>
      </c>
      <c r="N9" t="s">
        <v>517</v>
      </c>
      <c r="O9"/>
    </row>
    <row r="10" spans="1:16" s="190" customFormat="1" ht="48" x14ac:dyDescent="0.2">
      <c r="A10" s="278">
        <v>0</v>
      </c>
      <c r="B10" s="279" t="s">
        <v>463</v>
      </c>
      <c r="C10" s="279" t="s">
        <v>459</v>
      </c>
      <c r="D10" s="280" t="s">
        <v>433</v>
      </c>
      <c r="E10" s="291">
        <f ca="1">IF(D10="","",(VLOOKUP($D10,master_food_list,'Master Food List'!N$91,FALSE)))</f>
        <v>280</v>
      </c>
      <c r="F10" s="291">
        <f ca="1">IF(E10="","",(VLOOKUP($D10,master_food_list,'Master Food List'!O$91,FALSE)))</f>
        <v>34</v>
      </c>
      <c r="G10" s="291">
        <f ca="1">IF(F10="","",(VLOOKUP($D10,master_food_list,'Master Food List'!P$91,FALSE)))</f>
        <v>2</v>
      </c>
      <c r="H10" s="291">
        <f ca="1">IF(G10="","",(VLOOKUP($D10,master_food_list,'Master Food List'!Q$91,FALSE)))</f>
        <v>17</v>
      </c>
      <c r="I10" s="291">
        <f ca="1">IF(H10="","",(VLOOKUP($D10,master_food_list,'Master Food List'!R$91,FALSE)))</f>
        <v>0</v>
      </c>
      <c r="J10" s="291">
        <f ca="1">IF(I10="","",(VLOOKUP($D10,master_food_list,'Master Food List'!S$91,FALSE)))</f>
        <v>0</v>
      </c>
      <c r="K10" s="291">
        <f ca="1">IF(J10="","",(VLOOKUP($D10,master_food_list,'Master Food List'!T$91,FALSE)))</f>
        <v>140</v>
      </c>
      <c r="M10" s="194" t="s">
        <v>462</v>
      </c>
      <c r="N10" s="245"/>
      <c r="O10"/>
    </row>
    <row r="11" spans="1:16" s="190" customFormat="1" x14ac:dyDescent="0.2">
      <c r="A11" s="278">
        <v>0</v>
      </c>
      <c r="B11" s="279" t="s">
        <v>463</v>
      </c>
      <c r="C11" s="279" t="s">
        <v>458</v>
      </c>
      <c r="D11" s="280" t="s">
        <v>439</v>
      </c>
      <c r="E11" s="291">
        <f ca="1">IF(D11="","",(VLOOKUP($D11,master_food_list,'Master Food List'!N$91,FALSE)))</f>
        <v>540</v>
      </c>
      <c r="F11" s="291">
        <f ca="1">IF(E11="","",(VLOOKUP($D11,master_food_list,'Master Food List'!O$91,FALSE)))</f>
        <v>100</v>
      </c>
      <c r="G11" s="291">
        <f ca="1">IF(F11="","",(VLOOKUP($D11,master_food_list,'Master Food List'!P$91,FALSE)))</f>
        <v>32</v>
      </c>
      <c r="H11" s="291">
        <f ca="1">IF(G11="","",(VLOOKUP($D11,master_food_list,'Master Food List'!Q$91,FALSE)))</f>
        <v>4</v>
      </c>
      <c r="I11" s="291">
        <f ca="1">IF(H11="","",(VLOOKUP($D11,master_food_list,'Master Food List'!R$91,FALSE)))</f>
        <v>1260</v>
      </c>
      <c r="J11" s="291">
        <f ca="1">IF(I11="","",(VLOOKUP($D11,master_food_list,'Master Food List'!S$91,FALSE)))</f>
        <v>0</v>
      </c>
      <c r="K11" s="291">
        <f ca="1">IF(J11="","",(VLOOKUP($D11,master_food_list,'Master Food List'!T$91,FALSE)))</f>
        <v>98.181818181818187</v>
      </c>
      <c r="M11" s="248" t="s">
        <v>480</v>
      </c>
      <c r="N11" s="249">
        <v>14</v>
      </c>
      <c r="O11"/>
    </row>
    <row r="12" spans="1:16" s="189" customFormat="1" ht="32" x14ac:dyDescent="0.2">
      <c r="A12" s="282">
        <v>1</v>
      </c>
      <c r="B12" s="283" t="s">
        <v>463</v>
      </c>
      <c r="C12" s="283" t="s">
        <v>462</v>
      </c>
      <c r="D12" s="284" t="s">
        <v>480</v>
      </c>
      <c r="E12" s="292">
        <f ca="1">IF(D12="","",(VLOOKUP($D12,master_food_list,'Master Food List'!N$91,FALSE)))</f>
        <v>620</v>
      </c>
      <c r="F12" s="292">
        <f ca="1">IF(E12="","",(VLOOKUP($D12,master_food_list,'Master Food List'!O$91,FALSE)))</f>
        <v>74</v>
      </c>
      <c r="G12" s="292">
        <f ca="1">IF(F12="","",(VLOOKUP($D12,master_food_list,'Master Food List'!P$91,FALSE)))</f>
        <v>16</v>
      </c>
      <c r="H12" s="292">
        <f ca="1">IF(G12="","",(VLOOKUP($D12,master_food_list,'Master Food List'!Q$91,FALSE)))</f>
        <v>31</v>
      </c>
      <c r="I12" s="292">
        <f ca="1">IF(H12="","",(VLOOKUP($D12,master_food_list,'Master Food List'!R$91,FALSE)))</f>
        <v>280</v>
      </c>
      <c r="J12" s="292">
        <f ca="1">IF(I12="","",(VLOOKUP($D12,master_food_list,'Master Food List'!S$91,FALSE)))</f>
        <v>0</v>
      </c>
      <c r="K12" s="292">
        <f ca="1">IF(J12="","",(VLOOKUP($D12,master_food_list,'Master Food List'!T$91,FALSE)))</f>
        <v>130.52631578947367</v>
      </c>
      <c r="M12" s="248" t="s">
        <v>485</v>
      </c>
      <c r="N12" s="249">
        <v>8</v>
      </c>
      <c r="O12"/>
    </row>
    <row r="13" spans="1:16" s="189" customFormat="1" ht="32" x14ac:dyDescent="0.2">
      <c r="A13" s="282">
        <v>1</v>
      </c>
      <c r="B13" s="283" t="s">
        <v>463</v>
      </c>
      <c r="C13" s="283" t="s">
        <v>461</v>
      </c>
      <c r="D13" s="284" t="s">
        <v>327</v>
      </c>
      <c r="E13" s="292">
        <f ca="1">IF(D13="","",(VLOOKUP($D13,master_food_list,'Master Food List'!N$91,FALSE)))</f>
        <v>130</v>
      </c>
      <c r="F13" s="292">
        <f ca="1">IF(E13="","",(VLOOKUP($D13,master_food_list,'Master Food List'!O$91,FALSE)))</f>
        <v>8</v>
      </c>
      <c r="G13" s="292">
        <f ca="1">IF(F13="","",(VLOOKUP($D13,master_food_list,'Master Food List'!P$91,FALSE)))</f>
        <v>7</v>
      </c>
      <c r="H13" s="292">
        <f ca="1">IF(G13="","",(VLOOKUP($D13,master_food_list,'Master Food List'!Q$91,FALSE)))</f>
        <v>8</v>
      </c>
      <c r="I13" s="292">
        <f ca="1">IF(H13="","",(VLOOKUP($D13,master_food_list,'Master Food List'!R$91,FALSE)))</f>
        <v>320</v>
      </c>
      <c r="J13" s="292">
        <f ca="1">IF(I13="","",(VLOOKUP($D13,master_food_list,'Master Food List'!S$91,FALSE)))</f>
        <v>0</v>
      </c>
      <c r="K13" s="292">
        <f ca="1">IF(J13="","",(VLOOKUP($D13,master_food_list,'Master Food List'!T$91,FALSE)))</f>
        <v>99.999999999999986</v>
      </c>
      <c r="M13" s="248" t="s">
        <v>284</v>
      </c>
      <c r="N13" s="249">
        <v>2</v>
      </c>
      <c r="O13"/>
    </row>
    <row r="14" spans="1:16" s="189" customFormat="1" x14ac:dyDescent="0.2">
      <c r="A14" s="282">
        <v>1</v>
      </c>
      <c r="B14" s="283" t="s">
        <v>463</v>
      </c>
      <c r="C14" s="283" t="s">
        <v>460</v>
      </c>
      <c r="D14" s="284"/>
      <c r="E14" s="292" t="str">
        <f>IF(D14="","",(VLOOKUP($D14,master_food_list,'Master Food List'!N$91,FALSE)))</f>
        <v/>
      </c>
      <c r="F14" s="292" t="str">
        <f>IF(E14="","",(VLOOKUP($D14,master_food_list,'Master Food List'!O$91,FALSE)))</f>
        <v/>
      </c>
      <c r="G14" s="292" t="str">
        <f>IF(F14="","",(VLOOKUP($D14,master_food_list,'Master Food List'!P$91,FALSE)))</f>
        <v/>
      </c>
      <c r="H14" s="292" t="str">
        <f>IF(G14="","",(VLOOKUP($D14,master_food_list,'Master Food List'!Q$91,FALSE)))</f>
        <v/>
      </c>
      <c r="I14" s="292" t="str">
        <f>IF(H14="","",(VLOOKUP($D14,master_food_list,'Master Food List'!R$91,FALSE)))</f>
        <v/>
      </c>
      <c r="J14" s="292" t="str">
        <f>IF(I14="","",(VLOOKUP($D14,master_food_list,'Master Food List'!S$91,FALSE)))</f>
        <v/>
      </c>
      <c r="K14" s="292" t="str">
        <f>IF(J14="","",(VLOOKUP($D14,master_food_list,'Master Food List'!T$91,FALSE)))</f>
        <v/>
      </c>
      <c r="M14" s="244" t="s">
        <v>414</v>
      </c>
      <c r="N14" s="245">
        <v>2</v>
      </c>
      <c r="O14"/>
    </row>
    <row r="15" spans="1:16" s="189" customFormat="1" ht="32" x14ac:dyDescent="0.2">
      <c r="A15" s="282">
        <v>1</v>
      </c>
      <c r="B15" s="283" t="s">
        <v>463</v>
      </c>
      <c r="C15" s="283" t="s">
        <v>459</v>
      </c>
      <c r="D15" s="284" t="s">
        <v>347</v>
      </c>
      <c r="E15" s="292">
        <f ca="1">IF(D15="","",(VLOOKUP($D15,master_food_list,'Master Food List'!N$91,FALSE)))</f>
        <v>665</v>
      </c>
      <c r="F15" s="292">
        <f ca="1">IF(E15="","",(VLOOKUP($D15,master_food_list,'Master Food List'!O$91,FALSE)))</f>
        <v>0</v>
      </c>
      <c r="G15" s="292">
        <f ca="1">IF(F15="","",(VLOOKUP($D15,master_food_list,'Master Food List'!P$91,FALSE)))</f>
        <v>35</v>
      </c>
      <c r="H15" s="292">
        <f ca="1">IF(G15="","",(VLOOKUP($D15,master_food_list,'Master Food List'!Q$91,FALSE)))</f>
        <v>56</v>
      </c>
      <c r="I15" s="292">
        <f ca="1">IF(H15="","",(VLOOKUP($D15,master_food_list,'Master Food List'!R$91,FALSE)))</f>
        <v>2415</v>
      </c>
      <c r="J15" s="292">
        <f ca="1">IF(I15="","",(VLOOKUP($D15,master_food_list,'Master Food List'!S$91,FALSE)))</f>
        <v>0</v>
      </c>
      <c r="K15" s="292">
        <f ca="1">IF(J15="","",(VLOOKUP($D15,master_food_list,'Master Food List'!T$91,FALSE)))</f>
        <v>180.70652173913044</v>
      </c>
      <c r="M15" s="248" t="s">
        <v>498</v>
      </c>
      <c r="N15" s="249">
        <v>3</v>
      </c>
      <c r="O15"/>
    </row>
    <row r="16" spans="1:16" s="189" customFormat="1" ht="32" x14ac:dyDescent="0.2">
      <c r="A16" s="282">
        <v>1</v>
      </c>
      <c r="B16" s="283" t="s">
        <v>463</v>
      </c>
      <c r="C16" s="283" t="s">
        <v>458</v>
      </c>
      <c r="D16" s="284" t="s">
        <v>493</v>
      </c>
      <c r="E16" s="292">
        <f ca="1">IF(D16="","",(VLOOKUP($D16,master_food_list,'Master Food List'!N$91,FALSE)))</f>
        <v>1000</v>
      </c>
      <c r="F16" s="292">
        <f ca="1">IF(E16="","",(VLOOKUP($D16,master_food_list,'Master Food List'!O$91,FALSE)))</f>
        <v>112</v>
      </c>
      <c r="G16" s="292">
        <f ca="1">IF(F16="","",(VLOOKUP($D16,master_food_list,'Master Food List'!P$91,FALSE)))</f>
        <v>40</v>
      </c>
      <c r="H16" s="292">
        <f ca="1">IF(G16="","",(VLOOKUP($D16,master_food_list,'Master Food List'!Q$91,FALSE)))</f>
        <v>52</v>
      </c>
      <c r="I16" s="292">
        <f ca="1">IF(H16="","",(VLOOKUP($D16,master_food_list,'Master Food List'!R$91,FALSE)))</f>
        <v>460</v>
      </c>
      <c r="J16" s="292">
        <f ca="1">IF(I16="","",(VLOOKUP($D16,master_food_list,'Master Food List'!S$91,FALSE)))</f>
        <v>0</v>
      </c>
      <c r="K16" s="292">
        <f ca="1">IF(J16="","",(VLOOKUP($D16,master_food_list,'Master Food List'!T$91,FALSE)))</f>
        <v>123.4567901234568</v>
      </c>
      <c r="M16" s="194" t="s">
        <v>461</v>
      </c>
      <c r="N16" s="245"/>
      <c r="O16"/>
    </row>
    <row r="17" spans="1:15" s="189" customFormat="1" x14ac:dyDescent="0.2">
      <c r="A17" s="282">
        <v>1</v>
      </c>
      <c r="B17" s="283" t="s">
        <v>463</v>
      </c>
      <c r="C17" s="283" t="s">
        <v>457</v>
      </c>
      <c r="D17" s="284" t="s">
        <v>479</v>
      </c>
      <c r="E17" s="292">
        <f ca="1">IF(D17="","",(VLOOKUP($D17,master_food_list,'Master Food List'!N$91,FALSE)))</f>
        <v>300</v>
      </c>
      <c r="F17" s="292">
        <f ca="1">IF(E17="","",(VLOOKUP($D17,master_food_list,'Master Food List'!O$91,FALSE)))</f>
        <v>10.5</v>
      </c>
      <c r="G17" s="292">
        <f ca="1">IF(F17="","",(VLOOKUP($D17,master_food_list,'Master Food List'!P$91,FALSE)))</f>
        <v>10.5</v>
      </c>
      <c r="H17" s="292">
        <f ca="1">IF(G17="","",(VLOOKUP($D17,master_food_list,'Master Food List'!Q$91,FALSE)))</f>
        <v>25.5</v>
      </c>
      <c r="I17" s="292">
        <f ca="1">IF(H17="","",(VLOOKUP($D17,master_food_list,'Master Food List'!R$91,FALSE)))</f>
        <v>150</v>
      </c>
      <c r="J17" s="292">
        <f ca="1">IF(I17="","",(VLOOKUP($D17,master_food_list,'Master Food List'!S$91,FALSE)))</f>
        <v>0</v>
      </c>
      <c r="K17" s="292">
        <f ca="1">IF(J17="","",(VLOOKUP($D17,master_food_list,'Master Food List'!T$91,FALSE)))</f>
        <v>177.77777777777777</v>
      </c>
      <c r="M17" s="248" t="s">
        <v>494</v>
      </c>
      <c r="N17" s="249">
        <v>3</v>
      </c>
      <c r="O17"/>
    </row>
    <row r="18" spans="1:15" s="189" customFormat="1" x14ac:dyDescent="0.2">
      <c r="A18" s="282">
        <v>1</v>
      </c>
      <c r="B18" s="283" t="s">
        <v>463</v>
      </c>
      <c r="C18" s="283" t="s">
        <v>455</v>
      </c>
      <c r="D18" s="284" t="s">
        <v>478</v>
      </c>
      <c r="E18" s="292">
        <f ca="1">IF(D18="","",(VLOOKUP($D18,master_food_list,'Master Food List'!N$91,FALSE)))</f>
        <v>540</v>
      </c>
      <c r="F18" s="292">
        <f ca="1">IF(E18="","",(VLOOKUP($D18,master_food_list,'Master Food List'!O$91,FALSE)))</f>
        <v>105</v>
      </c>
      <c r="G18" s="292">
        <f ca="1">IF(F18="","",(VLOOKUP($D18,master_food_list,'Master Food List'!P$91,FALSE)))</f>
        <v>6</v>
      </c>
      <c r="H18" s="292">
        <f ca="1">IF(G18="","",(VLOOKUP($D18,master_food_list,'Master Food List'!Q$91,FALSE)))</f>
        <v>12</v>
      </c>
      <c r="I18" s="292">
        <f ca="1">IF(H18="","",(VLOOKUP($D18,master_food_list,'Master Food List'!R$91,FALSE)))</f>
        <v>240</v>
      </c>
      <c r="J18" s="292">
        <f ca="1">IF(I18="","",(VLOOKUP($D18,master_food_list,'Master Food List'!S$91,FALSE)))</f>
        <v>0</v>
      </c>
      <c r="K18" s="292">
        <f ca="1">IF(J18="","",(VLOOKUP($D18,master_food_list,'Master Food List'!T$91,FALSE)))</f>
        <v>117.64705882352942</v>
      </c>
      <c r="M18" s="248" t="s">
        <v>347</v>
      </c>
      <c r="N18" s="249">
        <v>4</v>
      </c>
      <c r="O18"/>
    </row>
    <row r="19" spans="1:15" customFormat="1" ht="32" x14ac:dyDescent="0.2">
      <c r="A19" s="286">
        <v>2</v>
      </c>
      <c r="B19" s="287" t="s">
        <v>463</v>
      </c>
      <c r="C19" s="287" t="s">
        <v>462</v>
      </c>
      <c r="D19" s="288" t="s">
        <v>485</v>
      </c>
      <c r="E19" s="293">
        <f ca="1">IF(D19="","",(VLOOKUP($D19,master_food_list,'Master Food List'!N$91,FALSE)))</f>
        <v>500</v>
      </c>
      <c r="F19" s="293">
        <f ca="1">IF(E19="","",(VLOOKUP($D19,master_food_list,'Master Food List'!O$91,FALSE)))</f>
        <v>74</v>
      </c>
      <c r="G19" s="293">
        <f ca="1">IF(F19="","",(VLOOKUP($D19,master_food_list,'Master Food List'!P$91,FALSE)))</f>
        <v>16</v>
      </c>
      <c r="H19" s="293">
        <f ca="1">IF(G19="","",(VLOOKUP($D19,master_food_list,'Master Food List'!Q$91,FALSE)))</f>
        <v>18</v>
      </c>
      <c r="I19" s="293">
        <f ca="1">IF(H19="","",(VLOOKUP($D19,master_food_list,'Master Food List'!R$91,FALSE)))</f>
        <v>130</v>
      </c>
      <c r="J19" s="293">
        <f ca="1">IF(I19="","",(VLOOKUP($D19,master_food_list,'Master Food List'!S$91,FALSE)))</f>
        <v>0</v>
      </c>
      <c r="K19" s="293">
        <f ca="1">IF(J19="","",(VLOOKUP($D19,master_food_list,'Master Food List'!T$91,FALSE)))</f>
        <v>126.55024044545685</v>
      </c>
      <c r="M19" s="244" t="s">
        <v>397</v>
      </c>
      <c r="N19" s="245">
        <v>1</v>
      </c>
    </row>
    <row r="20" spans="1:15" customFormat="1" ht="32" x14ac:dyDescent="0.2">
      <c r="A20" s="286">
        <v>2</v>
      </c>
      <c r="B20" s="287" t="s">
        <v>463</v>
      </c>
      <c r="C20" s="287" t="s">
        <v>461</v>
      </c>
      <c r="D20" s="288" t="s">
        <v>414</v>
      </c>
      <c r="E20" s="293">
        <f ca="1">IF(D20="","",(VLOOKUP($D20,master_food_list,'Master Food List'!N$91,FALSE)))</f>
        <v>250</v>
      </c>
      <c r="F20" s="293">
        <f ca="1">IF(E20="","",(VLOOKUP($D20,master_food_list,'Master Food List'!O$91,FALSE)))</f>
        <v>33</v>
      </c>
      <c r="G20" s="293">
        <f ca="1">IF(F20="","",(VLOOKUP($D20,master_food_list,'Master Food List'!P$91,FALSE)))</f>
        <v>4</v>
      </c>
      <c r="H20" s="293">
        <f ca="1">IF(G20="","",(VLOOKUP($D20,master_food_list,'Master Food List'!Q$91,FALSE)))</f>
        <v>12</v>
      </c>
      <c r="I20" s="293">
        <f ca="1">IF(H20="","",(VLOOKUP($D20,master_food_list,'Master Food List'!R$91,FALSE)))</f>
        <v>120</v>
      </c>
      <c r="J20" s="293">
        <f ca="1">IF(I20="","",(VLOOKUP($D20,master_food_list,'Master Food List'!S$91,FALSE)))</f>
        <v>0</v>
      </c>
      <c r="K20" s="293">
        <f ca="1">IF(J20="","",(VLOOKUP($D20,master_food_list,'Master Food List'!T$91,FALSE)))</f>
        <v>134.40860215053763</v>
      </c>
      <c r="M20" s="248" t="s">
        <v>333</v>
      </c>
      <c r="N20" s="249">
        <v>1</v>
      </c>
    </row>
    <row r="21" spans="1:15" customFormat="1" x14ac:dyDescent="0.2">
      <c r="A21" s="286">
        <v>2</v>
      </c>
      <c r="B21" s="287" t="s">
        <v>463</v>
      </c>
      <c r="C21" s="287" t="s">
        <v>460</v>
      </c>
      <c r="D21" s="288"/>
      <c r="E21" s="293" t="str">
        <f>IF(D21="","",(VLOOKUP($D21,master_food_list,'Master Food List'!N$91,FALSE)))</f>
        <v/>
      </c>
      <c r="F21" s="293" t="str">
        <f>IF(E21="","",(VLOOKUP($D21,master_food_list,'Master Food List'!O$91,FALSE)))</f>
        <v/>
      </c>
      <c r="G21" s="293" t="str">
        <f>IF(F21="","",(VLOOKUP($D21,master_food_list,'Master Food List'!P$91,FALSE)))</f>
        <v/>
      </c>
      <c r="H21" s="293" t="str">
        <f>IF(G21="","",(VLOOKUP($D21,master_food_list,'Master Food List'!Q$91,FALSE)))</f>
        <v/>
      </c>
      <c r="I21" s="293" t="str">
        <f>IF(H21="","",(VLOOKUP($D21,master_food_list,'Master Food List'!R$91,FALSE)))</f>
        <v/>
      </c>
      <c r="J21" s="293" t="str">
        <f>IF(I21="","",(VLOOKUP($D21,master_food_list,'Master Food List'!S$91,FALSE)))</f>
        <v/>
      </c>
      <c r="K21" s="293" t="str">
        <f>IF(J21="","",(VLOOKUP($D21,master_food_list,'Master Food List'!T$91,FALSE)))</f>
        <v/>
      </c>
      <c r="M21" s="248" t="s">
        <v>495</v>
      </c>
      <c r="N21" s="249">
        <v>1</v>
      </c>
    </row>
    <row r="22" spans="1:15" customFormat="1" ht="32" x14ac:dyDescent="0.2">
      <c r="A22" s="286">
        <v>2</v>
      </c>
      <c r="B22" s="287" t="s">
        <v>463</v>
      </c>
      <c r="C22" s="287" t="s">
        <v>459</v>
      </c>
      <c r="D22" s="288" t="s">
        <v>397</v>
      </c>
      <c r="E22" s="293">
        <f ca="1">IF(D22="","",(VLOOKUP($D22,master_food_list,'Master Food List'!N$91,FALSE)))</f>
        <v>280</v>
      </c>
      <c r="F22" s="293">
        <f ca="1">IF(E22="","",(VLOOKUP($D22,master_food_list,'Master Food List'!O$91,FALSE)))</f>
        <v>29</v>
      </c>
      <c r="G22" s="293">
        <f ca="1">IF(F22="","",(VLOOKUP($D22,master_food_list,'Master Food List'!P$91,FALSE)))</f>
        <v>20</v>
      </c>
      <c r="H22" s="293">
        <f ca="1">IF(G22="","",(VLOOKUP($D22,master_food_list,'Master Food List'!Q$91,FALSE)))</f>
        <v>10</v>
      </c>
      <c r="I22" s="293">
        <f ca="1">IF(H22="","",(VLOOKUP($D22,master_food_list,'Master Food List'!R$91,FALSE)))</f>
        <v>360</v>
      </c>
      <c r="J22" s="293">
        <f ca="1">IF(I22="","",(VLOOKUP($D22,master_food_list,'Master Food List'!S$91,FALSE)))</f>
        <v>0</v>
      </c>
      <c r="K22" s="293">
        <f ca="1">IF(J22="","",(VLOOKUP($D22,master_food_list,'Master Food List'!T$91,FALSE)))</f>
        <v>116.66666666666667</v>
      </c>
      <c r="M22" s="244" t="s">
        <v>327</v>
      </c>
      <c r="N22" s="245">
        <v>3</v>
      </c>
    </row>
    <row r="23" spans="1:15" customFormat="1" ht="32" x14ac:dyDescent="0.2">
      <c r="A23" s="286">
        <v>2</v>
      </c>
      <c r="B23" s="287" t="s">
        <v>463</v>
      </c>
      <c r="C23" s="287" t="s">
        <v>458</v>
      </c>
      <c r="D23" s="288" t="s">
        <v>409</v>
      </c>
      <c r="E23" s="293">
        <f ca="1">IF(D23="","",(VLOOKUP($D23,master_food_list,'Master Food List'!N$91,FALSE)))</f>
        <v>480</v>
      </c>
      <c r="F23" s="293">
        <f ca="1">IF(E23="","",(VLOOKUP($D23,master_food_list,'Master Food List'!O$91,FALSE)))</f>
        <v>84</v>
      </c>
      <c r="G23" s="293">
        <f ca="1">IF(F23="","",(VLOOKUP($D23,master_food_list,'Master Food List'!P$91,FALSE)))</f>
        <v>30</v>
      </c>
      <c r="H23" s="293">
        <f ca="1">IF(G23="","",(VLOOKUP($D23,master_food_list,'Master Food List'!Q$91,FALSE)))</f>
        <v>3</v>
      </c>
      <c r="I23" s="293">
        <f ca="1">IF(H23="","",(VLOOKUP($D23,master_food_list,'Master Food List'!R$91,FALSE)))</f>
        <v>1530</v>
      </c>
      <c r="J23" s="293">
        <f ca="1">IF(I23="","",(VLOOKUP($D23,master_food_list,'Master Food List'!S$91,FALSE)))</f>
        <v>0</v>
      </c>
      <c r="K23" s="293">
        <f ca="1">IF(J23="","",(VLOOKUP($D23,master_food_list,'Master Food List'!T$91,FALSE)))</f>
        <v>101.93905817174515</v>
      </c>
      <c r="M23" s="248" t="s">
        <v>487</v>
      </c>
      <c r="N23" s="249">
        <v>1</v>
      </c>
    </row>
    <row r="24" spans="1:15" customFormat="1" x14ac:dyDescent="0.2">
      <c r="A24" s="286">
        <v>2</v>
      </c>
      <c r="B24" s="287" t="s">
        <v>463</v>
      </c>
      <c r="C24" s="287" t="s">
        <v>457</v>
      </c>
      <c r="D24" s="288" t="s">
        <v>479</v>
      </c>
      <c r="E24" s="293">
        <f ca="1">IF(D24="","",(VLOOKUP($D24,master_food_list,'Master Food List'!N$91,FALSE)))</f>
        <v>300</v>
      </c>
      <c r="F24" s="293">
        <f ca="1">IF(E24="","",(VLOOKUP($D24,master_food_list,'Master Food List'!O$91,FALSE)))</f>
        <v>10.5</v>
      </c>
      <c r="G24" s="293">
        <f ca="1">IF(F24="","",(VLOOKUP($D24,master_food_list,'Master Food List'!P$91,FALSE)))</f>
        <v>10.5</v>
      </c>
      <c r="H24" s="293">
        <f ca="1">IF(G24="","",(VLOOKUP($D24,master_food_list,'Master Food List'!Q$91,FALSE)))</f>
        <v>25.5</v>
      </c>
      <c r="I24" s="293">
        <f ca="1">IF(H24="","",(VLOOKUP($D24,master_food_list,'Master Food List'!R$91,FALSE)))</f>
        <v>150</v>
      </c>
      <c r="J24" s="293">
        <f ca="1">IF(I24="","",(VLOOKUP($D24,master_food_list,'Master Food List'!S$91,FALSE)))</f>
        <v>0</v>
      </c>
      <c r="K24" s="293">
        <f ca="1">IF(J24="","",(VLOOKUP($D24,master_food_list,'Master Food List'!T$91,FALSE)))</f>
        <v>177.77777777777777</v>
      </c>
      <c r="M24" s="248" t="s">
        <v>490</v>
      </c>
      <c r="N24" s="249">
        <v>1</v>
      </c>
    </row>
    <row r="25" spans="1:15" customFormat="1" x14ac:dyDescent="0.2">
      <c r="A25" s="286">
        <v>2</v>
      </c>
      <c r="B25" s="287" t="s">
        <v>463</v>
      </c>
      <c r="C25" s="287" t="s">
        <v>455</v>
      </c>
      <c r="D25" s="288" t="s">
        <v>482</v>
      </c>
      <c r="E25" s="293">
        <f ca="1">IF(D25="","",(VLOOKUP($D25,master_food_list,'Master Food List'!N$91,FALSE)))</f>
        <v>110</v>
      </c>
      <c r="F25" s="293">
        <f ca="1">IF(E25="","",(VLOOKUP($D25,master_food_list,'Master Food List'!O$91,FALSE)))</f>
        <v>21</v>
      </c>
      <c r="G25" s="293">
        <f ca="1">IF(F25="","",(VLOOKUP($D25,master_food_list,'Master Food List'!P$91,FALSE)))</f>
        <v>1</v>
      </c>
      <c r="H25" s="293">
        <f ca="1">IF(G25="","",(VLOOKUP($D25,master_food_list,'Master Food List'!Q$91,FALSE)))</f>
        <v>2</v>
      </c>
      <c r="I25" s="293">
        <f ca="1">IF(H25="","",(VLOOKUP($D25,master_food_list,'Master Food List'!R$91,FALSE)))</f>
        <v>150</v>
      </c>
      <c r="J25" s="293">
        <f ca="1">IF(I25="","",(VLOOKUP($D25,master_food_list,'Master Food List'!S$91,FALSE)))</f>
        <v>0</v>
      </c>
      <c r="K25" s="293">
        <f ca="1">IF(J25="","",(VLOOKUP($D25,master_food_list,'Master Food List'!T$91,FALSE)))</f>
        <v>118.27956989247312</v>
      </c>
      <c r="M25" s="248" t="s">
        <v>489</v>
      </c>
      <c r="N25" s="249">
        <v>4</v>
      </c>
    </row>
    <row r="26" spans="1:15" customFormat="1" ht="32" x14ac:dyDescent="0.2">
      <c r="A26" s="286">
        <v>3</v>
      </c>
      <c r="B26" s="287" t="s">
        <v>463</v>
      </c>
      <c r="C26" s="287" t="s">
        <v>462</v>
      </c>
      <c r="D26" s="288" t="s">
        <v>485</v>
      </c>
      <c r="E26" s="293">
        <f ca="1">IF(D26="","",(VLOOKUP($D26,master_food_list,'Master Food List'!N$91,FALSE)))</f>
        <v>500</v>
      </c>
      <c r="F26" s="293">
        <f ca="1">IF(E26="","",(VLOOKUP($D26,master_food_list,'Master Food List'!O$91,FALSE)))</f>
        <v>74</v>
      </c>
      <c r="G26" s="293">
        <f ca="1">IF(F26="","",(VLOOKUP($D26,master_food_list,'Master Food List'!P$91,FALSE)))</f>
        <v>16</v>
      </c>
      <c r="H26" s="293">
        <f ca="1">IF(G26="","",(VLOOKUP($D26,master_food_list,'Master Food List'!Q$91,FALSE)))</f>
        <v>18</v>
      </c>
      <c r="I26" s="293">
        <f ca="1">IF(H26="","",(VLOOKUP($D26,master_food_list,'Master Food List'!R$91,FALSE)))</f>
        <v>130</v>
      </c>
      <c r="J26" s="293">
        <f ca="1">IF(I26="","",(VLOOKUP($D26,master_food_list,'Master Food List'!S$91,FALSE)))</f>
        <v>0</v>
      </c>
      <c r="K26" s="293">
        <f ca="1">IF(J26="","",(VLOOKUP($D26,master_food_list,'Master Food List'!T$91,FALSE)))</f>
        <v>126.55024044545685</v>
      </c>
      <c r="M26" s="248" t="s">
        <v>433</v>
      </c>
      <c r="N26" s="249">
        <v>2</v>
      </c>
    </row>
    <row r="27" spans="1:15" customFormat="1" ht="32" x14ac:dyDescent="0.2">
      <c r="A27" s="286">
        <v>3</v>
      </c>
      <c r="B27" s="287" t="s">
        <v>463</v>
      </c>
      <c r="C27" s="287" t="s">
        <v>461</v>
      </c>
      <c r="D27" s="288" t="s">
        <v>489</v>
      </c>
      <c r="E27" s="293">
        <f ca="1">IF(D27="","",(VLOOKUP($D27,master_food_list,'Master Food List'!N$91,FALSE)))</f>
        <v>200</v>
      </c>
      <c r="F27" s="293">
        <f ca="1">IF(E27="","",(VLOOKUP($D27,master_food_list,'Master Food List'!O$91,FALSE)))</f>
        <v>25</v>
      </c>
      <c r="G27" s="293">
        <f ca="1">IF(F27="","",(VLOOKUP($D27,master_food_list,'Master Food List'!P$91,FALSE)))</f>
        <v>22.5</v>
      </c>
      <c r="H27" s="293">
        <f ca="1">IF(G27="","",(VLOOKUP($D27,master_food_list,'Master Food List'!Q$91,FALSE)))</f>
        <v>1.25</v>
      </c>
      <c r="I27" s="293">
        <f ca="1">IF(H27="","",(VLOOKUP($D27,master_food_list,'Master Food List'!R$91,FALSE)))</f>
        <v>800</v>
      </c>
      <c r="J27" s="293">
        <f ca="1">IF(I27="","",(VLOOKUP($D27,master_food_list,'Master Food List'!S$91,FALSE)))</f>
        <v>0</v>
      </c>
      <c r="K27" s="293">
        <f ca="1">IF(J27="","",(VLOOKUP($D27,master_food_list,'Master Food List'!T$91,FALSE)))</f>
        <v>74.074074074074076</v>
      </c>
      <c r="M27" s="248" t="s">
        <v>284</v>
      </c>
      <c r="N27" s="249">
        <v>1</v>
      </c>
    </row>
    <row r="28" spans="1:15" customFormat="1" x14ac:dyDescent="0.2">
      <c r="A28" s="286">
        <v>3</v>
      </c>
      <c r="B28" s="287" t="s">
        <v>463</v>
      </c>
      <c r="C28" s="287" t="s">
        <v>460</v>
      </c>
      <c r="D28" s="288"/>
      <c r="E28" s="293" t="str">
        <f>IF(D28="","",(VLOOKUP($D28,master_food_list,'Master Food List'!N$91,FALSE)))</f>
        <v/>
      </c>
      <c r="F28" s="293" t="str">
        <f>IF(E28="","",(VLOOKUP($D28,master_food_list,'Master Food List'!O$91,FALSE)))</f>
        <v/>
      </c>
      <c r="G28" s="293" t="str">
        <f>IF(F28="","",(VLOOKUP($D28,master_food_list,'Master Food List'!P$91,FALSE)))</f>
        <v/>
      </c>
      <c r="H28" s="293" t="str">
        <f>IF(G28="","",(VLOOKUP($D28,master_food_list,'Master Food List'!Q$91,FALSE)))</f>
        <v/>
      </c>
      <c r="I28" s="293" t="str">
        <f>IF(H28="","",(VLOOKUP($D28,master_food_list,'Master Food List'!R$91,FALSE)))</f>
        <v/>
      </c>
      <c r="J28" s="293" t="str">
        <f>IF(I28="","",(VLOOKUP($D28,master_food_list,'Master Food List'!S$91,FALSE)))</f>
        <v/>
      </c>
      <c r="K28" s="293" t="str">
        <f>IF(J28="","",(VLOOKUP($D28,master_food_list,'Master Food List'!T$91,FALSE)))</f>
        <v/>
      </c>
      <c r="M28" s="248" t="s">
        <v>481</v>
      </c>
      <c r="N28" s="249">
        <v>4</v>
      </c>
    </row>
    <row r="29" spans="1:15" customFormat="1" ht="32" x14ac:dyDescent="0.2">
      <c r="A29" s="286">
        <v>3</v>
      </c>
      <c r="B29" s="287" t="s">
        <v>463</v>
      </c>
      <c r="C29" s="287" t="s">
        <v>459</v>
      </c>
      <c r="D29" s="288" t="s">
        <v>427</v>
      </c>
      <c r="E29" s="293">
        <f ca="1">IF(D29="","",(VLOOKUP($D29,master_food_list,'Master Food List'!N$91,FALSE)))</f>
        <v>300</v>
      </c>
      <c r="F29" s="293">
        <f ca="1">IF(E29="","",(VLOOKUP($D29,master_food_list,'Master Food List'!O$91,FALSE)))</f>
        <v>24</v>
      </c>
      <c r="G29" s="293">
        <f ca="1">IF(F29="","",(VLOOKUP($D29,master_food_list,'Master Food List'!P$91,FALSE)))</f>
        <v>8</v>
      </c>
      <c r="H29" s="293">
        <f ca="1">IF(G29="","",(VLOOKUP($D29,master_food_list,'Master Food List'!Q$91,FALSE)))</f>
        <v>20</v>
      </c>
      <c r="I29" s="293">
        <f ca="1">IF(H29="","",(VLOOKUP($D29,master_food_list,'Master Food List'!R$91,FALSE)))</f>
        <v>120</v>
      </c>
      <c r="J29" s="293">
        <f ca="1">IF(I29="","",(VLOOKUP($D29,master_food_list,'Master Food List'!S$91,FALSE)))</f>
        <v>0</v>
      </c>
      <c r="K29" s="293">
        <f ca="1">IF(J29="","",(VLOOKUP($D29,master_food_list,'Master Food List'!T$91,FALSE)))</f>
        <v>150</v>
      </c>
      <c r="M29" s="244" t="s">
        <v>414</v>
      </c>
      <c r="N29" s="245">
        <v>1</v>
      </c>
    </row>
    <row r="30" spans="1:15" customFormat="1" ht="32" x14ac:dyDescent="0.2">
      <c r="A30" s="286">
        <v>3</v>
      </c>
      <c r="B30" s="287" t="s">
        <v>463</v>
      </c>
      <c r="C30" s="287" t="s">
        <v>458</v>
      </c>
      <c r="D30" s="288" t="s">
        <v>491</v>
      </c>
      <c r="E30" s="293">
        <f ca="1">IF(D30="","",(VLOOKUP($D30,master_food_list,'Master Food List'!N$91,FALSE)))</f>
        <v>420</v>
      </c>
      <c r="F30" s="293">
        <f ca="1">IF(E30="","",(VLOOKUP($D30,master_food_list,'Master Food List'!O$91,FALSE)))</f>
        <v>44</v>
      </c>
      <c r="G30" s="293">
        <f ca="1">IF(F30="","",(VLOOKUP($D30,master_food_list,'Master Food List'!P$91,FALSE)))</f>
        <v>44</v>
      </c>
      <c r="H30" s="293">
        <f ca="1">IF(G30="","",(VLOOKUP($D30,master_food_list,'Master Food List'!Q$91,FALSE)))</f>
        <v>7</v>
      </c>
      <c r="I30" s="293">
        <f ca="1">IF(H30="","",(VLOOKUP($D30,master_food_list,'Master Food List'!R$91,FALSE)))</f>
        <v>1620</v>
      </c>
      <c r="J30" s="293">
        <f ca="1">IF(I30="","",(VLOOKUP($D30,master_food_list,'Master Food List'!S$91,FALSE)))</f>
        <v>0</v>
      </c>
      <c r="K30" s="293">
        <f ca="1">IF(J30="","",(VLOOKUP($D30,master_food_list,'Master Food List'!T$91,FALSE)))</f>
        <v>113.5135135135135</v>
      </c>
      <c r="M30" s="248" t="s">
        <v>427</v>
      </c>
      <c r="N30" s="249">
        <v>3</v>
      </c>
    </row>
    <row r="31" spans="1:15" customFormat="1" x14ac:dyDescent="0.2">
      <c r="A31" s="286">
        <v>3</v>
      </c>
      <c r="B31" s="287" t="s">
        <v>463</v>
      </c>
      <c r="C31" s="287" t="s">
        <v>457</v>
      </c>
      <c r="D31" s="288" t="s">
        <v>479</v>
      </c>
      <c r="E31" s="293">
        <f ca="1">IF(D31="","",(VLOOKUP($D31,master_food_list,'Master Food List'!N$91,FALSE)))</f>
        <v>300</v>
      </c>
      <c r="F31" s="293">
        <f ca="1">IF(E31="","",(VLOOKUP($D31,master_food_list,'Master Food List'!O$91,FALSE)))</f>
        <v>10.5</v>
      </c>
      <c r="G31" s="293">
        <f ca="1">IF(F31="","",(VLOOKUP($D31,master_food_list,'Master Food List'!P$91,FALSE)))</f>
        <v>10.5</v>
      </c>
      <c r="H31" s="293">
        <f ca="1">IF(G31="","",(VLOOKUP($D31,master_food_list,'Master Food List'!Q$91,FALSE)))</f>
        <v>25.5</v>
      </c>
      <c r="I31" s="293">
        <f ca="1">IF(H31="","",(VLOOKUP($D31,master_food_list,'Master Food List'!R$91,FALSE)))</f>
        <v>150</v>
      </c>
      <c r="J31" s="293">
        <f ca="1">IF(I31="","",(VLOOKUP($D31,master_food_list,'Master Food List'!S$91,FALSE)))</f>
        <v>0</v>
      </c>
      <c r="K31" s="293">
        <f ca="1">IF(J31="","",(VLOOKUP($D31,master_food_list,'Master Food List'!T$91,FALSE)))</f>
        <v>177.77777777777777</v>
      </c>
      <c r="M31" s="194" t="s">
        <v>460</v>
      </c>
      <c r="N31" s="245"/>
    </row>
    <row r="32" spans="1:15" customFormat="1" x14ac:dyDescent="0.2">
      <c r="A32" s="286">
        <v>3</v>
      </c>
      <c r="B32" s="287" t="s">
        <v>463</v>
      </c>
      <c r="C32" s="287" t="s">
        <v>455</v>
      </c>
      <c r="D32" s="288" t="s">
        <v>484</v>
      </c>
      <c r="E32" s="293">
        <f ca="1">IF(D32="","",(VLOOKUP($D32,master_food_list,'Master Food List'!N$91,FALSE)))</f>
        <v>540</v>
      </c>
      <c r="F32" s="293">
        <f ca="1">IF(E32="","",(VLOOKUP($D32,master_food_list,'Master Food List'!O$91,FALSE)))</f>
        <v>72</v>
      </c>
      <c r="G32" s="293">
        <f ca="1">IF(F32="","",(VLOOKUP($D32,master_food_list,'Master Food List'!P$91,FALSE)))</f>
        <v>14</v>
      </c>
      <c r="H32" s="293">
        <f ca="1">IF(G32="","",(VLOOKUP($D32,master_food_list,'Master Food List'!Q$91,FALSE)))</f>
        <v>22</v>
      </c>
      <c r="I32" s="293">
        <f ca="1">IF(H32="","",(VLOOKUP($D32,master_food_list,'Master Food List'!R$91,FALSE)))</f>
        <v>780</v>
      </c>
      <c r="J32" s="293">
        <f ca="1">IF(I32="","",(VLOOKUP($D32,master_food_list,'Master Food List'!S$91,FALSE)))</f>
        <v>0</v>
      </c>
      <c r="K32" s="293">
        <f ca="1">IF(J32="","",(VLOOKUP($D32,master_food_list,'Master Food List'!T$91,FALSE)))</f>
        <v>117.39130434782609</v>
      </c>
      <c r="M32" s="248" t="s">
        <v>495</v>
      </c>
      <c r="N32" s="249">
        <v>6</v>
      </c>
    </row>
    <row r="33" spans="1:14" s="189" customFormat="1" ht="32" x14ac:dyDescent="0.2">
      <c r="A33" s="290">
        <v>4</v>
      </c>
      <c r="B33" s="283" t="s">
        <v>463</v>
      </c>
      <c r="C33" s="283" t="s">
        <v>462</v>
      </c>
      <c r="D33" s="284" t="s">
        <v>480</v>
      </c>
      <c r="E33" s="292">
        <f ca="1">IF(D33="","",(VLOOKUP($D33,master_food_list,'Master Food List'!N$91,FALSE)))</f>
        <v>620</v>
      </c>
      <c r="F33" s="292">
        <f ca="1">IF(E33="","",(VLOOKUP($D33,master_food_list,'Master Food List'!O$91,FALSE)))</f>
        <v>74</v>
      </c>
      <c r="G33" s="292">
        <f ca="1">IF(F33="","",(VLOOKUP($D33,master_food_list,'Master Food List'!P$91,FALSE)))</f>
        <v>16</v>
      </c>
      <c r="H33" s="292">
        <f ca="1">IF(G33="","",(VLOOKUP($D33,master_food_list,'Master Food List'!Q$91,FALSE)))</f>
        <v>31</v>
      </c>
      <c r="I33" s="292">
        <f ca="1">IF(H33="","",(VLOOKUP($D33,master_food_list,'Master Food List'!R$91,FALSE)))</f>
        <v>280</v>
      </c>
      <c r="J33" s="292">
        <f ca="1">IF(I33="","",(VLOOKUP($D33,master_food_list,'Master Food List'!S$91,FALSE)))</f>
        <v>0</v>
      </c>
      <c r="K33" s="292">
        <f ca="1">IF(J33="","",(VLOOKUP($D33,master_food_list,'Master Food List'!T$91,FALSE)))</f>
        <v>130.52631578947367</v>
      </c>
      <c r="M33" s="248" t="s">
        <v>430</v>
      </c>
      <c r="N33" s="249">
        <v>1</v>
      </c>
    </row>
    <row r="34" spans="1:14" s="189" customFormat="1" ht="32" x14ac:dyDescent="0.2">
      <c r="A34" s="282">
        <v>4</v>
      </c>
      <c r="B34" s="283" t="s">
        <v>463</v>
      </c>
      <c r="C34" s="283" t="s">
        <v>461</v>
      </c>
      <c r="D34" s="284" t="s">
        <v>347</v>
      </c>
      <c r="E34" s="292">
        <f ca="1">IF(D34="","",(VLOOKUP($D34,master_food_list,'Master Food List'!N$91,FALSE)))</f>
        <v>665</v>
      </c>
      <c r="F34" s="292">
        <f ca="1">IF(E34="","",(VLOOKUP($D34,master_food_list,'Master Food List'!O$91,FALSE)))</f>
        <v>0</v>
      </c>
      <c r="G34" s="292">
        <f ca="1">IF(F34="","",(VLOOKUP($D34,master_food_list,'Master Food List'!P$91,FALSE)))</f>
        <v>35</v>
      </c>
      <c r="H34" s="292">
        <f ca="1">IF(G34="","",(VLOOKUP($D34,master_food_list,'Master Food List'!Q$91,FALSE)))</f>
        <v>56</v>
      </c>
      <c r="I34" s="292">
        <f ca="1">IF(H34="","",(VLOOKUP($D34,master_food_list,'Master Food List'!R$91,FALSE)))</f>
        <v>2415</v>
      </c>
      <c r="J34" s="292">
        <f ca="1">IF(I34="","",(VLOOKUP($D34,master_food_list,'Master Food List'!S$91,FALSE)))</f>
        <v>0</v>
      </c>
      <c r="K34" s="292">
        <f ca="1">IF(J34="","",(VLOOKUP($D34,master_food_list,'Master Food List'!T$91,FALSE)))</f>
        <v>180.70652173913044</v>
      </c>
      <c r="M34" s="248" t="s">
        <v>427</v>
      </c>
      <c r="N34" s="249">
        <v>1</v>
      </c>
    </row>
    <row r="35" spans="1:14" s="189" customFormat="1" x14ac:dyDescent="0.2">
      <c r="A35" s="282">
        <v>4</v>
      </c>
      <c r="B35" s="283" t="s">
        <v>463</v>
      </c>
      <c r="C35" s="283" t="s">
        <v>460</v>
      </c>
      <c r="D35" s="284"/>
      <c r="E35" s="292" t="str">
        <f>IF(D35="","",(VLOOKUP($D35,master_food_list,'Master Food List'!N$91,FALSE)))</f>
        <v/>
      </c>
      <c r="F35" s="292" t="str">
        <f>IF(E35="","",(VLOOKUP($D35,master_food_list,'Master Food List'!O$91,FALSE)))</f>
        <v/>
      </c>
      <c r="G35" s="292" t="str">
        <f>IF(F35="","",(VLOOKUP($D35,master_food_list,'Master Food List'!P$91,FALSE)))</f>
        <v/>
      </c>
      <c r="H35" s="292" t="str">
        <f>IF(G35="","",(VLOOKUP($D35,master_food_list,'Master Food List'!Q$91,FALSE)))</f>
        <v/>
      </c>
      <c r="I35" s="292" t="str">
        <f>IF(H35="","",(VLOOKUP($D35,master_food_list,'Master Food List'!R$91,FALSE)))</f>
        <v/>
      </c>
      <c r="J35" s="292" t="str">
        <f>IF(I35="","",(VLOOKUP($D35,master_food_list,'Master Food List'!S$91,FALSE)))</f>
        <v/>
      </c>
      <c r="K35" s="292" t="str">
        <f>IF(J35="","",(VLOOKUP($D35,master_food_list,'Master Food List'!T$91,FALSE)))</f>
        <v/>
      </c>
      <c r="M35" s="244" t="s">
        <v>516</v>
      </c>
      <c r="N35" s="245"/>
    </row>
    <row r="36" spans="1:14" s="189" customFormat="1" ht="51" x14ac:dyDescent="0.2">
      <c r="A36" s="282">
        <v>4</v>
      </c>
      <c r="B36" s="283" t="s">
        <v>463</v>
      </c>
      <c r="C36" s="283" t="s">
        <v>459</v>
      </c>
      <c r="D36" s="284" t="s">
        <v>433</v>
      </c>
      <c r="E36" s="292">
        <f ca="1">IF(D36="","",(VLOOKUP($D36,master_food_list,'Master Food List'!N$91,FALSE)))</f>
        <v>280</v>
      </c>
      <c r="F36" s="292">
        <f ca="1">IF(E36="","",(VLOOKUP($D36,master_food_list,'Master Food List'!O$91,FALSE)))</f>
        <v>34</v>
      </c>
      <c r="G36" s="292">
        <f ca="1">IF(F36="","",(VLOOKUP($D36,master_food_list,'Master Food List'!P$91,FALSE)))</f>
        <v>2</v>
      </c>
      <c r="H36" s="292">
        <f ca="1">IF(G36="","",(VLOOKUP($D36,master_food_list,'Master Food List'!Q$91,FALSE)))</f>
        <v>17</v>
      </c>
      <c r="I36" s="292">
        <f ca="1">IF(H36="","",(VLOOKUP($D36,master_food_list,'Master Food List'!R$91,FALSE)))</f>
        <v>0</v>
      </c>
      <c r="J36" s="292">
        <f ca="1">IF(I36="","",(VLOOKUP($D36,master_food_list,'Master Food List'!S$91,FALSE)))</f>
        <v>0</v>
      </c>
      <c r="K36" s="292">
        <f ca="1">IF(J36="","",(VLOOKUP($D36,master_food_list,'Master Food List'!T$91,FALSE)))</f>
        <v>140</v>
      </c>
      <c r="M36" s="194" t="s">
        <v>459</v>
      </c>
      <c r="N36" s="245"/>
    </row>
    <row r="37" spans="1:14" s="189" customFormat="1" ht="34" x14ac:dyDescent="0.2">
      <c r="A37" s="282">
        <v>4</v>
      </c>
      <c r="B37" s="283" t="s">
        <v>463</v>
      </c>
      <c r="C37" s="283" t="s">
        <v>458</v>
      </c>
      <c r="D37" s="284" t="s">
        <v>492</v>
      </c>
      <c r="E37" s="292">
        <f ca="1">IF(D37="","",(VLOOKUP($D37,master_food_list,'Master Food List'!N$91,FALSE)))</f>
        <v>620</v>
      </c>
      <c r="F37" s="292">
        <f ca="1">IF(E37="","",(VLOOKUP($D37,master_food_list,'Master Food List'!O$91,FALSE)))</f>
        <v>90</v>
      </c>
      <c r="G37" s="292">
        <f ca="1">IF(F37="","",(VLOOKUP($D37,master_food_list,'Master Food List'!P$91,FALSE)))</f>
        <v>28</v>
      </c>
      <c r="H37" s="292">
        <f ca="1">IF(G37="","",(VLOOKUP($D37,master_food_list,'Master Food List'!Q$91,FALSE)))</f>
        <v>20</v>
      </c>
      <c r="I37" s="292">
        <f ca="1">IF(H37="","",(VLOOKUP($D37,master_food_list,'Master Food List'!R$91,FALSE)))</f>
        <v>1340</v>
      </c>
      <c r="J37" s="292">
        <f ca="1">IF(I37="","",(VLOOKUP($D37,master_food_list,'Master Food List'!S$91,FALSE)))</f>
        <v>0</v>
      </c>
      <c r="K37" s="292">
        <f ca="1">IF(J37="","",(VLOOKUP($D37,master_food_list,'Master Food List'!T$91,FALSE)))</f>
        <v>122.04724409448819</v>
      </c>
      <c r="M37" s="248" t="s">
        <v>494</v>
      </c>
      <c r="N37" s="249">
        <v>1</v>
      </c>
    </row>
    <row r="38" spans="1:14" s="189" customFormat="1" ht="17" x14ac:dyDescent="0.2">
      <c r="A38" s="282">
        <v>4</v>
      </c>
      <c r="B38" s="283" t="s">
        <v>463</v>
      </c>
      <c r="C38" s="283" t="s">
        <v>457</v>
      </c>
      <c r="D38" s="284" t="s">
        <v>479</v>
      </c>
      <c r="E38" s="292">
        <f ca="1">IF(D38="","",(VLOOKUP($D38,master_food_list,'Master Food List'!N$91,FALSE)))</f>
        <v>300</v>
      </c>
      <c r="F38" s="292">
        <f ca="1">IF(E38="","",(VLOOKUP($D38,master_food_list,'Master Food List'!O$91,FALSE)))</f>
        <v>10.5</v>
      </c>
      <c r="G38" s="292">
        <f ca="1">IF(F38="","",(VLOOKUP($D38,master_food_list,'Master Food List'!P$91,FALSE)))</f>
        <v>10.5</v>
      </c>
      <c r="H38" s="292">
        <f ca="1">IF(G38="","",(VLOOKUP($D38,master_food_list,'Master Food List'!Q$91,FALSE)))</f>
        <v>25.5</v>
      </c>
      <c r="I38" s="292">
        <f ca="1">IF(H38="","",(VLOOKUP($D38,master_food_list,'Master Food List'!R$91,FALSE)))</f>
        <v>150</v>
      </c>
      <c r="J38" s="292">
        <f ca="1">IF(I38="","",(VLOOKUP($D38,master_food_list,'Master Food List'!S$91,FALSE)))</f>
        <v>0</v>
      </c>
      <c r="K38" s="292">
        <f ca="1">IF(J38="","",(VLOOKUP($D38,master_food_list,'Master Food List'!T$91,FALSE)))</f>
        <v>177.77777777777777</v>
      </c>
      <c r="M38" s="248" t="s">
        <v>347</v>
      </c>
      <c r="N38" s="249">
        <v>5</v>
      </c>
    </row>
    <row r="39" spans="1:14" s="189" customFormat="1" ht="17" x14ac:dyDescent="0.2">
      <c r="A39" s="282">
        <v>4</v>
      </c>
      <c r="B39" s="283" t="s">
        <v>463</v>
      </c>
      <c r="C39" s="283" t="s">
        <v>455</v>
      </c>
      <c r="D39" s="284" t="s">
        <v>313</v>
      </c>
      <c r="E39" s="292">
        <f ca="1">IF(D39="","",(VLOOKUP($D39,master_food_list,'Master Food List'!N$91,FALSE)))</f>
        <v>170</v>
      </c>
      <c r="F39" s="292">
        <f ca="1">IF(E39="","",(VLOOKUP($D39,master_food_list,'Master Food List'!O$91,FALSE)))</f>
        <v>28</v>
      </c>
      <c r="G39" s="292">
        <f ca="1">IF(F39="","",(VLOOKUP($D39,master_food_list,'Master Food List'!P$91,FALSE)))</f>
        <v>2</v>
      </c>
      <c r="H39" s="292">
        <f ca="1">IF(G39="","",(VLOOKUP($D39,master_food_list,'Master Food List'!Q$91,FALSE)))</f>
        <v>6</v>
      </c>
      <c r="I39" s="292">
        <f ca="1">IF(H39="","",(VLOOKUP($D39,master_food_list,'Master Food List'!R$91,FALSE)))</f>
        <v>135</v>
      </c>
      <c r="J39" s="292">
        <f ca="1">IF(I39="","",(VLOOKUP($D39,master_food_list,'Master Food List'!S$91,FALSE)))</f>
        <v>0</v>
      </c>
      <c r="K39" s="292">
        <f ca="1">IF(J39="","",(VLOOKUP($D39,master_food_list,'Master Food List'!T$91,FALSE)))</f>
        <v>150.44247787610621</v>
      </c>
      <c r="M39" s="244" t="s">
        <v>397</v>
      </c>
      <c r="N39" s="245">
        <v>2</v>
      </c>
    </row>
    <row r="40" spans="1:14" customFormat="1" ht="34" x14ac:dyDescent="0.2">
      <c r="A40" s="286">
        <v>5</v>
      </c>
      <c r="B40" s="287" t="s">
        <v>463</v>
      </c>
      <c r="C40" s="287" t="s">
        <v>462</v>
      </c>
      <c r="D40" s="288" t="s">
        <v>480</v>
      </c>
      <c r="E40" s="293">
        <f ca="1">IF(D40="","",(VLOOKUP($D40,master_food_list,'Master Food List'!N$91,FALSE)))</f>
        <v>620</v>
      </c>
      <c r="F40" s="293">
        <f ca="1">IF(E40="","",(VLOOKUP($D40,master_food_list,'Master Food List'!O$91,FALSE)))</f>
        <v>74</v>
      </c>
      <c r="G40" s="293">
        <f ca="1">IF(F40="","",(VLOOKUP($D40,master_food_list,'Master Food List'!P$91,FALSE)))</f>
        <v>16</v>
      </c>
      <c r="H40" s="293">
        <f ca="1">IF(G40="","",(VLOOKUP($D40,master_food_list,'Master Food List'!Q$91,FALSE)))</f>
        <v>31</v>
      </c>
      <c r="I40" s="293">
        <f ca="1">IF(H40="","",(VLOOKUP($D40,master_food_list,'Master Food List'!R$91,FALSE)))</f>
        <v>280</v>
      </c>
      <c r="J40" s="293">
        <f ca="1">IF(I40="","",(VLOOKUP($D40,master_food_list,'Master Food List'!S$91,FALSE)))</f>
        <v>0</v>
      </c>
      <c r="K40" s="293">
        <f ca="1">IF(J40="","",(VLOOKUP($D40,master_food_list,'Master Food List'!T$91,FALSE)))</f>
        <v>130.52631578947367</v>
      </c>
      <c r="M40" s="248" t="s">
        <v>333</v>
      </c>
      <c r="N40" s="249">
        <v>1</v>
      </c>
    </row>
    <row r="41" spans="1:14" customFormat="1" ht="34" x14ac:dyDescent="0.2">
      <c r="A41" s="286">
        <v>5</v>
      </c>
      <c r="B41" s="287" t="s">
        <v>463</v>
      </c>
      <c r="C41" s="287" t="s">
        <v>461</v>
      </c>
      <c r="D41" s="288" t="s">
        <v>490</v>
      </c>
      <c r="E41" s="293">
        <f ca="1">IF(D41="","",(VLOOKUP($D41,master_food_list,'Master Food List'!N$91,FALSE)))</f>
        <v>225</v>
      </c>
      <c r="F41" s="293">
        <f ca="1">IF(E41="","",(VLOOKUP($D41,master_food_list,'Master Food List'!O$91,FALSE)))</f>
        <v>30</v>
      </c>
      <c r="G41" s="293">
        <f ca="1">IF(F41="","",(VLOOKUP($D41,master_food_list,'Master Food List'!P$91,FALSE)))</f>
        <v>20</v>
      </c>
      <c r="H41" s="293">
        <f ca="1">IF(G41="","",(VLOOKUP($D41,master_food_list,'Master Food List'!Q$91,FALSE)))</f>
        <v>3.75</v>
      </c>
      <c r="I41" s="293">
        <f ca="1">IF(H41="","",(VLOOKUP($D41,master_food_list,'Master Food List'!R$91,FALSE)))</f>
        <v>875</v>
      </c>
      <c r="J41" s="293">
        <f ca="1">IF(I41="","",(VLOOKUP($D41,master_food_list,'Master Food List'!S$91,FALSE)))</f>
        <v>0</v>
      </c>
      <c r="K41" s="293">
        <f ca="1">IF(J41="","",(VLOOKUP($D41,master_food_list,'Master Food List'!T$91,FALSE)))</f>
        <v>83.333333333333329</v>
      </c>
      <c r="M41" s="248" t="s">
        <v>490</v>
      </c>
      <c r="N41" s="249">
        <v>1</v>
      </c>
    </row>
    <row r="42" spans="1:14" customFormat="1" ht="17" x14ac:dyDescent="0.2">
      <c r="A42" s="286">
        <v>5</v>
      </c>
      <c r="B42" s="287" t="s">
        <v>463</v>
      </c>
      <c r="C42" s="287" t="s">
        <v>460</v>
      </c>
      <c r="D42" s="288"/>
      <c r="E42" s="293" t="str">
        <f>IF(D42="","",(VLOOKUP($D42,master_food_list,'Master Food List'!N$91,FALSE)))</f>
        <v/>
      </c>
      <c r="F42" s="293" t="str">
        <f>IF(E42="","",(VLOOKUP($D42,master_food_list,'Master Food List'!O$91,FALSE)))</f>
        <v/>
      </c>
      <c r="G42" s="293" t="str">
        <f>IF(F42="","",(VLOOKUP($D42,master_food_list,'Master Food List'!P$91,FALSE)))</f>
        <v/>
      </c>
      <c r="H42" s="293" t="str">
        <f>IF(G42="","",(VLOOKUP($D42,master_food_list,'Master Food List'!Q$91,FALSE)))</f>
        <v/>
      </c>
      <c r="I42" s="293" t="str">
        <f>IF(H42="","",(VLOOKUP($D42,master_food_list,'Master Food List'!R$91,FALSE)))</f>
        <v/>
      </c>
      <c r="J42" s="293" t="str">
        <f>IF(I42="","",(VLOOKUP($D42,master_food_list,'Master Food List'!S$91,FALSE)))</f>
        <v/>
      </c>
      <c r="K42" s="293" t="str">
        <f>IF(J42="","",(VLOOKUP($D42,master_food_list,'Master Food List'!T$91,FALSE)))</f>
        <v/>
      </c>
      <c r="M42" s="248" t="s">
        <v>433</v>
      </c>
      <c r="N42" s="249">
        <v>5</v>
      </c>
    </row>
    <row r="43" spans="1:14" customFormat="1" ht="51" x14ac:dyDescent="0.2">
      <c r="A43" s="286">
        <v>5</v>
      </c>
      <c r="B43" s="287" t="s">
        <v>463</v>
      </c>
      <c r="C43" s="287" t="s">
        <v>459</v>
      </c>
      <c r="D43" s="288" t="s">
        <v>430</v>
      </c>
      <c r="E43" s="293">
        <f ca="1">IF(D43="","",(VLOOKUP($D43,master_food_list,'Master Food List'!N$91,FALSE)))</f>
        <v>510</v>
      </c>
      <c r="F43" s="293">
        <f ca="1">IF(E43="","",(VLOOKUP($D43,master_food_list,'Master Food List'!O$91,FALSE)))</f>
        <v>42</v>
      </c>
      <c r="G43" s="293">
        <f ca="1">IF(F43="","",(VLOOKUP($D43,master_food_list,'Master Food List'!P$91,FALSE)))</f>
        <v>10.5</v>
      </c>
      <c r="H43" s="293">
        <f ca="1">IF(G43="","",(VLOOKUP($D43,master_food_list,'Master Food List'!Q$91,FALSE)))</f>
        <v>33</v>
      </c>
      <c r="I43" s="293">
        <f ca="1">IF(H43="","",(VLOOKUP($D43,master_food_list,'Master Food List'!R$91,FALSE)))</f>
        <v>75</v>
      </c>
      <c r="J43" s="293">
        <f ca="1">IF(I43="","",(VLOOKUP($D43,master_food_list,'Master Food List'!S$91,FALSE)))</f>
        <v>0</v>
      </c>
      <c r="K43" s="293">
        <f ca="1">IF(J43="","",(VLOOKUP($D43,master_food_list,'Master Food List'!T$91,FALSE)))</f>
        <v>170</v>
      </c>
      <c r="M43" s="244" t="s">
        <v>414</v>
      </c>
      <c r="N43" s="245">
        <v>2</v>
      </c>
    </row>
    <row r="44" spans="1:14" customFormat="1" ht="17" x14ac:dyDescent="0.2">
      <c r="A44" s="286">
        <v>5</v>
      </c>
      <c r="B44" s="287" t="s">
        <v>463</v>
      </c>
      <c r="C44" s="287" t="s">
        <v>458</v>
      </c>
      <c r="D44" s="288" t="s">
        <v>439</v>
      </c>
      <c r="E44" s="293">
        <f ca="1">IF(D44="","",(VLOOKUP($D44,master_food_list,'Master Food List'!N$91,FALSE)))</f>
        <v>540</v>
      </c>
      <c r="F44" s="293">
        <f ca="1">IF(E44="","",(VLOOKUP($D44,master_food_list,'Master Food List'!O$91,FALSE)))</f>
        <v>100</v>
      </c>
      <c r="G44" s="293">
        <f ca="1">IF(F44="","",(VLOOKUP($D44,master_food_list,'Master Food List'!P$91,FALSE)))</f>
        <v>32</v>
      </c>
      <c r="H44" s="293">
        <f ca="1">IF(G44="","",(VLOOKUP($D44,master_food_list,'Master Food List'!Q$91,FALSE)))</f>
        <v>4</v>
      </c>
      <c r="I44" s="293">
        <f ca="1">IF(H44="","",(VLOOKUP($D44,master_food_list,'Master Food List'!R$91,FALSE)))</f>
        <v>1260</v>
      </c>
      <c r="J44" s="293">
        <f ca="1">IF(I44="","",(VLOOKUP($D44,master_food_list,'Master Food List'!S$91,FALSE)))</f>
        <v>0</v>
      </c>
      <c r="K44" s="293">
        <f ca="1">IF(J44="","",(VLOOKUP($D44,master_food_list,'Master Food List'!T$91,FALSE)))</f>
        <v>98.181818181818187</v>
      </c>
      <c r="M44" s="248" t="s">
        <v>430</v>
      </c>
      <c r="N44" s="249">
        <v>8</v>
      </c>
    </row>
    <row r="45" spans="1:14" customFormat="1" ht="17" x14ac:dyDescent="0.2">
      <c r="A45" s="286">
        <v>5</v>
      </c>
      <c r="B45" s="287" t="s">
        <v>463</v>
      </c>
      <c r="C45" s="287" t="s">
        <v>457</v>
      </c>
      <c r="D45" s="288" t="s">
        <v>479</v>
      </c>
      <c r="E45" s="293">
        <f ca="1">IF(D45="","",(VLOOKUP($D45,master_food_list,'Master Food List'!N$91,FALSE)))</f>
        <v>300</v>
      </c>
      <c r="F45" s="293">
        <f ca="1">IF(E45="","",(VLOOKUP($D45,master_food_list,'Master Food List'!O$91,FALSE)))</f>
        <v>10.5</v>
      </c>
      <c r="G45" s="293">
        <f ca="1">IF(F45="","",(VLOOKUP($D45,master_food_list,'Master Food List'!P$91,FALSE)))</f>
        <v>10.5</v>
      </c>
      <c r="H45" s="293">
        <f ca="1">IF(G45="","",(VLOOKUP($D45,master_food_list,'Master Food List'!Q$91,FALSE)))</f>
        <v>25.5</v>
      </c>
      <c r="I45" s="293">
        <f ca="1">IF(H45="","",(VLOOKUP($D45,master_food_list,'Master Food List'!R$91,FALSE)))</f>
        <v>150</v>
      </c>
      <c r="J45" s="293">
        <f ca="1">IF(I45="","",(VLOOKUP($D45,master_food_list,'Master Food List'!S$91,FALSE)))</f>
        <v>0</v>
      </c>
      <c r="K45" s="293">
        <f ca="1">IF(J45="","",(VLOOKUP($D45,master_food_list,'Master Food List'!T$91,FALSE)))</f>
        <v>177.77777777777777</v>
      </c>
      <c r="M45" s="248" t="s">
        <v>427</v>
      </c>
      <c r="N45" s="249">
        <v>5</v>
      </c>
    </row>
    <row r="46" spans="1:14" customFormat="1" ht="17" x14ac:dyDescent="0.2">
      <c r="A46" s="286">
        <v>5</v>
      </c>
      <c r="B46" s="287" t="s">
        <v>463</v>
      </c>
      <c r="C46" s="287" t="s">
        <v>455</v>
      </c>
      <c r="D46" s="288" t="s">
        <v>482</v>
      </c>
      <c r="E46" s="293">
        <f ca="1">IF(D46="","",(VLOOKUP($D46,master_food_list,'Master Food List'!N$91,FALSE)))</f>
        <v>110</v>
      </c>
      <c r="F46" s="293">
        <f ca="1">IF(E46="","",(VLOOKUP($D46,master_food_list,'Master Food List'!O$91,FALSE)))</f>
        <v>21</v>
      </c>
      <c r="G46" s="293">
        <f ca="1">IF(F46="","",(VLOOKUP($D46,master_food_list,'Master Food List'!P$91,FALSE)))</f>
        <v>1</v>
      </c>
      <c r="H46" s="293">
        <f ca="1">IF(G46="","",(VLOOKUP($D46,master_food_list,'Master Food List'!Q$91,FALSE)))</f>
        <v>2</v>
      </c>
      <c r="I46" s="293">
        <f ca="1">IF(H46="","",(VLOOKUP($D46,master_food_list,'Master Food List'!R$91,FALSE)))</f>
        <v>150</v>
      </c>
      <c r="J46" s="293">
        <f ca="1">IF(I46="","",(VLOOKUP($D46,master_food_list,'Master Food List'!S$91,FALSE)))</f>
        <v>0</v>
      </c>
      <c r="K46" s="293">
        <f ca="1">IF(J46="","",(VLOOKUP($D46,master_food_list,'Master Food List'!T$91,FALSE)))</f>
        <v>118.27956989247312</v>
      </c>
      <c r="M46" s="194" t="s">
        <v>458</v>
      </c>
      <c r="N46" s="245"/>
    </row>
    <row r="47" spans="1:14" customFormat="1" ht="34" x14ac:dyDescent="0.2">
      <c r="A47" s="286">
        <v>6</v>
      </c>
      <c r="B47" s="287" t="s">
        <v>463</v>
      </c>
      <c r="C47" s="287" t="s">
        <v>462</v>
      </c>
      <c r="D47" s="288" t="s">
        <v>485</v>
      </c>
      <c r="E47" s="293">
        <f ca="1">IF(D47="","",(VLOOKUP($D47,master_food_list,'Master Food List'!N$91,FALSE)))</f>
        <v>500</v>
      </c>
      <c r="F47" s="293">
        <f ca="1">IF(E47="","",(VLOOKUP($D47,master_food_list,'Master Food List'!O$91,FALSE)))</f>
        <v>74</v>
      </c>
      <c r="G47" s="293">
        <f ca="1">IF(F47="","",(VLOOKUP($D47,master_food_list,'Master Food List'!P$91,FALSE)))</f>
        <v>16</v>
      </c>
      <c r="H47" s="293">
        <f ca="1">IF(G47="","",(VLOOKUP($D47,master_food_list,'Master Food List'!Q$91,FALSE)))</f>
        <v>18</v>
      </c>
      <c r="I47" s="293">
        <f ca="1">IF(H47="","",(VLOOKUP($D47,master_food_list,'Master Food List'!R$91,FALSE)))</f>
        <v>130</v>
      </c>
      <c r="J47" s="293">
        <f ca="1">IF(I47="","",(VLOOKUP($D47,master_food_list,'Master Food List'!S$91,FALSE)))</f>
        <v>0</v>
      </c>
      <c r="K47" s="293">
        <f ca="1">IF(J47="","",(VLOOKUP($D47,master_food_list,'Master Food List'!T$91,FALSE)))</f>
        <v>126.55024044545685</v>
      </c>
      <c r="M47" s="248" t="s">
        <v>491</v>
      </c>
      <c r="N47" s="249">
        <v>3</v>
      </c>
    </row>
    <row r="48" spans="1:14" customFormat="1" ht="34" x14ac:dyDescent="0.2">
      <c r="A48" s="286">
        <v>6</v>
      </c>
      <c r="B48" s="287" t="s">
        <v>463</v>
      </c>
      <c r="C48" s="287" t="s">
        <v>461</v>
      </c>
      <c r="D48" s="288" t="s">
        <v>487</v>
      </c>
      <c r="E48" s="293">
        <f ca="1">IF(D48="","",(VLOOKUP($D48,master_food_list,'Master Food List'!N$91,FALSE)))</f>
        <v>225</v>
      </c>
      <c r="F48" s="293">
        <f ca="1">IF(E48="","",(VLOOKUP($D48,master_food_list,'Master Food List'!O$91,FALSE)))</f>
        <v>30</v>
      </c>
      <c r="G48" s="293">
        <f ca="1">IF(F48="","",(VLOOKUP($D48,master_food_list,'Master Food List'!P$91,FALSE)))</f>
        <v>20</v>
      </c>
      <c r="H48" s="293">
        <f ca="1">IF(G48="","",(VLOOKUP($D48,master_food_list,'Master Food List'!Q$91,FALSE)))</f>
        <v>3.75</v>
      </c>
      <c r="I48" s="293">
        <f ca="1">IF(H48="","",(VLOOKUP($D48,master_food_list,'Master Food List'!R$91,FALSE)))</f>
        <v>950</v>
      </c>
      <c r="J48" s="293">
        <f ca="1">IF(I48="","",(VLOOKUP($D48,master_food_list,'Master Food List'!S$91,FALSE)))</f>
        <v>0</v>
      </c>
      <c r="K48" s="293">
        <f ca="1">IF(J48="","",(VLOOKUP($D48,master_food_list,'Master Food List'!T$91,FALSE)))</f>
        <v>83.333333333333329</v>
      </c>
      <c r="M48" s="248" t="s">
        <v>492</v>
      </c>
      <c r="N48" s="249">
        <v>3</v>
      </c>
    </row>
    <row r="49" spans="1:14" customFormat="1" ht="17" x14ac:dyDescent="0.2">
      <c r="A49" s="286">
        <v>6</v>
      </c>
      <c r="B49" s="287" t="s">
        <v>463</v>
      </c>
      <c r="C49" s="287" t="s">
        <v>460</v>
      </c>
      <c r="D49" s="288"/>
      <c r="E49" s="293" t="str">
        <f>IF(D49="","",(VLOOKUP($D49,master_food_list,'Master Food List'!N$91,FALSE)))</f>
        <v/>
      </c>
      <c r="F49" s="293" t="str">
        <f>IF(E49="","",(VLOOKUP($D49,master_food_list,'Master Food List'!O$91,FALSE)))</f>
        <v/>
      </c>
      <c r="G49" s="293" t="str">
        <f>IF(F49="","",(VLOOKUP($D49,master_food_list,'Master Food List'!P$91,FALSE)))</f>
        <v/>
      </c>
      <c r="H49" s="293" t="str">
        <f>IF(G49="","",(VLOOKUP($D49,master_food_list,'Master Food List'!Q$91,FALSE)))</f>
        <v/>
      </c>
      <c r="I49" s="293" t="str">
        <f>IF(H49="","",(VLOOKUP($D49,master_food_list,'Master Food List'!R$91,FALSE)))</f>
        <v/>
      </c>
      <c r="J49" s="293" t="str">
        <f>IF(I49="","",(VLOOKUP($D49,master_food_list,'Master Food List'!S$91,FALSE)))</f>
        <v/>
      </c>
      <c r="K49" s="293" t="str">
        <f>IF(J49="","",(VLOOKUP($D49,master_food_list,'Master Food List'!T$91,FALSE)))</f>
        <v/>
      </c>
      <c r="M49" s="248" t="s">
        <v>439</v>
      </c>
      <c r="N49" s="249">
        <v>2</v>
      </c>
    </row>
    <row r="50" spans="1:14" customFormat="1" ht="51" x14ac:dyDescent="0.2">
      <c r="A50" s="286">
        <v>6</v>
      </c>
      <c r="B50" s="287" t="s">
        <v>463</v>
      </c>
      <c r="C50" s="287" t="s">
        <v>459</v>
      </c>
      <c r="D50" s="288" t="s">
        <v>430</v>
      </c>
      <c r="E50" s="293">
        <f ca="1">IF(D50="","",(VLOOKUP($D50,master_food_list,'Master Food List'!N$91,FALSE)))</f>
        <v>510</v>
      </c>
      <c r="F50" s="293">
        <f ca="1">IF(E50="","",(VLOOKUP($D50,master_food_list,'Master Food List'!O$91,FALSE)))</f>
        <v>42</v>
      </c>
      <c r="G50" s="293">
        <f ca="1">IF(F50="","",(VLOOKUP($D50,master_food_list,'Master Food List'!P$91,FALSE)))</f>
        <v>10.5</v>
      </c>
      <c r="H50" s="293">
        <f ca="1">IF(G50="","",(VLOOKUP($D50,master_food_list,'Master Food List'!Q$91,FALSE)))</f>
        <v>33</v>
      </c>
      <c r="I50" s="293">
        <f ca="1">IF(H50="","",(VLOOKUP($D50,master_food_list,'Master Food List'!R$91,FALSE)))</f>
        <v>75</v>
      </c>
      <c r="J50" s="293">
        <f ca="1">IF(I50="","",(VLOOKUP($D50,master_food_list,'Master Food List'!S$91,FALSE)))</f>
        <v>0</v>
      </c>
      <c r="K50" s="293">
        <f ca="1">IF(J50="","",(VLOOKUP($D50,master_food_list,'Master Food List'!T$91,FALSE)))</f>
        <v>170</v>
      </c>
      <c r="M50" s="248" t="s">
        <v>336</v>
      </c>
      <c r="N50" s="249">
        <v>1</v>
      </c>
    </row>
    <row r="51" spans="1:14" customFormat="1" ht="34" x14ac:dyDescent="0.2">
      <c r="A51" s="286">
        <v>6</v>
      </c>
      <c r="B51" s="287" t="s">
        <v>463</v>
      </c>
      <c r="C51" s="287" t="s">
        <v>458</v>
      </c>
      <c r="D51" s="288" t="s">
        <v>486</v>
      </c>
      <c r="E51" s="293">
        <f ca="1">IF(D51="","",(VLOOKUP($D51,master_food_list,'Master Food List'!N$91,FALSE)))</f>
        <v>960</v>
      </c>
      <c r="F51" s="293">
        <f ca="1">IF(E51="","",(VLOOKUP($D51,master_food_list,'Master Food List'!O$91,FALSE)))</f>
        <v>178</v>
      </c>
      <c r="G51" s="293">
        <f ca="1">IF(F51="","",(VLOOKUP($D51,master_food_list,'Master Food List'!P$91,FALSE)))</f>
        <v>34</v>
      </c>
      <c r="H51" s="293">
        <f ca="1">IF(G51="","",(VLOOKUP($D51,master_food_list,'Master Food List'!Q$91,FALSE)))</f>
        <v>12</v>
      </c>
      <c r="I51" s="293">
        <f ca="1">IF(H51="","",(VLOOKUP($D51,master_food_list,'Master Food List'!R$91,FALSE)))</f>
        <v>1620</v>
      </c>
      <c r="J51" s="293">
        <f ca="1">IF(I51="","",(VLOOKUP($D51,master_food_list,'Master Food List'!S$91,FALSE)))</f>
        <v>0</v>
      </c>
      <c r="K51" s="293">
        <f ca="1">IF(J51="","",(VLOOKUP($D51,master_food_list,'Master Food List'!T$91,FALSE)))</f>
        <v>109.09090909090908</v>
      </c>
      <c r="M51" s="248" t="s">
        <v>486</v>
      </c>
      <c r="N51" s="249">
        <v>5</v>
      </c>
    </row>
    <row r="52" spans="1:14" customFormat="1" ht="17" x14ac:dyDescent="0.2">
      <c r="A52" s="286">
        <v>6</v>
      </c>
      <c r="B52" s="287" t="s">
        <v>463</v>
      </c>
      <c r="C52" s="287" t="s">
        <v>457</v>
      </c>
      <c r="D52" s="288" t="s">
        <v>479</v>
      </c>
      <c r="E52" s="293">
        <f ca="1">IF(D52="","",(VLOOKUP($D52,master_food_list,'Master Food List'!N$91,FALSE)))</f>
        <v>300</v>
      </c>
      <c r="F52" s="293">
        <f ca="1">IF(E52="","",(VLOOKUP($D52,master_food_list,'Master Food List'!O$91,FALSE)))</f>
        <v>10.5</v>
      </c>
      <c r="G52" s="293">
        <f ca="1">IF(F52="","",(VLOOKUP($D52,master_food_list,'Master Food List'!P$91,FALSE)))</f>
        <v>10.5</v>
      </c>
      <c r="H52" s="293">
        <f ca="1">IF(G52="","",(VLOOKUP($D52,master_food_list,'Master Food List'!Q$91,FALSE)))</f>
        <v>25.5</v>
      </c>
      <c r="I52" s="293">
        <f ca="1">IF(H52="","",(VLOOKUP($D52,master_food_list,'Master Food List'!R$91,FALSE)))</f>
        <v>150</v>
      </c>
      <c r="J52" s="293">
        <f ca="1">IF(I52="","",(VLOOKUP($D52,master_food_list,'Master Food List'!S$91,FALSE)))</f>
        <v>0</v>
      </c>
      <c r="K52" s="293">
        <f ca="1">IF(J52="","",(VLOOKUP($D52,master_food_list,'Master Food List'!T$91,FALSE)))</f>
        <v>177.77777777777777</v>
      </c>
      <c r="M52" s="248" t="s">
        <v>519</v>
      </c>
      <c r="N52" s="249">
        <v>1</v>
      </c>
    </row>
    <row r="53" spans="1:14" customFormat="1" ht="17" x14ac:dyDescent="0.2">
      <c r="A53" s="286">
        <v>6</v>
      </c>
      <c r="B53" s="287" t="s">
        <v>463</v>
      </c>
      <c r="C53" s="287" t="s">
        <v>455</v>
      </c>
      <c r="D53" s="288" t="s">
        <v>313</v>
      </c>
      <c r="E53" s="293">
        <f ca="1">IF(D53="","",(VLOOKUP($D53,master_food_list,'Master Food List'!N$91,FALSE)))</f>
        <v>170</v>
      </c>
      <c r="F53" s="293">
        <f ca="1">IF(E53="","",(VLOOKUP($D53,master_food_list,'Master Food List'!O$91,FALSE)))</f>
        <v>28</v>
      </c>
      <c r="G53" s="293">
        <f ca="1">IF(F53="","",(VLOOKUP($D53,master_food_list,'Master Food List'!P$91,FALSE)))</f>
        <v>2</v>
      </c>
      <c r="H53" s="293">
        <f ca="1">IF(G53="","",(VLOOKUP($D53,master_food_list,'Master Food List'!Q$91,FALSE)))</f>
        <v>6</v>
      </c>
      <c r="I53" s="293">
        <f ca="1">IF(H53="","",(VLOOKUP($D53,master_food_list,'Master Food List'!R$91,FALSE)))</f>
        <v>135</v>
      </c>
      <c r="J53" s="293">
        <f ca="1">IF(I53="","",(VLOOKUP($D53,master_food_list,'Master Food List'!S$91,FALSE)))</f>
        <v>0</v>
      </c>
      <c r="K53" s="293">
        <f ca="1">IF(J53="","",(VLOOKUP($D53,master_food_list,'Master Food List'!T$91,FALSE)))</f>
        <v>150.44247787610621</v>
      </c>
      <c r="M53" s="248" t="s">
        <v>442</v>
      </c>
      <c r="N53" s="249">
        <v>2</v>
      </c>
    </row>
    <row r="54" spans="1:14" customFormat="1" ht="34" x14ac:dyDescent="0.2">
      <c r="A54" s="286">
        <v>7</v>
      </c>
      <c r="B54" s="287" t="s">
        <v>463</v>
      </c>
      <c r="C54" s="287" t="s">
        <v>462</v>
      </c>
      <c r="D54" s="288" t="s">
        <v>480</v>
      </c>
      <c r="E54" s="293">
        <f ca="1">IF(D54="","",(VLOOKUP($D54,master_food_list,'Master Food List'!N$91,FALSE)))</f>
        <v>620</v>
      </c>
      <c r="F54" s="293">
        <f ca="1">IF(E54="","",(VLOOKUP($D54,master_food_list,'Master Food List'!O$91,FALSE)))</f>
        <v>74</v>
      </c>
      <c r="G54" s="293">
        <f ca="1">IF(F54="","",(VLOOKUP($D54,master_food_list,'Master Food List'!P$91,FALSE)))</f>
        <v>16</v>
      </c>
      <c r="H54" s="293">
        <f ca="1">IF(G54="","",(VLOOKUP($D54,master_food_list,'Master Food List'!Q$91,FALSE)))</f>
        <v>31</v>
      </c>
      <c r="I54" s="293">
        <f ca="1">IF(H54="","",(VLOOKUP($D54,master_food_list,'Master Food List'!R$91,FALSE)))</f>
        <v>280</v>
      </c>
      <c r="J54" s="293">
        <f ca="1">IF(I54="","",(VLOOKUP($D54,master_food_list,'Master Food List'!S$91,FALSE)))</f>
        <v>0</v>
      </c>
      <c r="K54" s="293">
        <f ca="1">IF(J54="","",(VLOOKUP($D54,master_food_list,'Master Food List'!T$91,FALSE)))</f>
        <v>130.52631578947367</v>
      </c>
      <c r="M54" s="248" t="s">
        <v>294</v>
      </c>
      <c r="N54" s="249">
        <v>2</v>
      </c>
    </row>
    <row r="55" spans="1:14" customFormat="1" ht="34" x14ac:dyDescent="0.2">
      <c r="A55" s="286">
        <v>7</v>
      </c>
      <c r="B55" s="287" t="s">
        <v>463</v>
      </c>
      <c r="C55" s="287" t="s">
        <v>461</v>
      </c>
      <c r="D55" s="288" t="s">
        <v>427</v>
      </c>
      <c r="E55" s="293">
        <f ca="1">IF(D55="","",(VLOOKUP($D55,master_food_list,'Master Food List'!N$91,FALSE)))</f>
        <v>300</v>
      </c>
      <c r="F55" s="293">
        <f ca="1">IF(E55="","",(VLOOKUP($D55,master_food_list,'Master Food List'!O$91,FALSE)))</f>
        <v>24</v>
      </c>
      <c r="G55" s="293">
        <f ca="1">IF(F55="","",(VLOOKUP($D55,master_food_list,'Master Food List'!P$91,FALSE)))</f>
        <v>8</v>
      </c>
      <c r="H55" s="293">
        <f ca="1">IF(G55="","",(VLOOKUP($D55,master_food_list,'Master Food List'!Q$91,FALSE)))</f>
        <v>20</v>
      </c>
      <c r="I55" s="293">
        <f ca="1">IF(H55="","",(VLOOKUP($D55,master_food_list,'Master Food List'!R$91,FALSE)))</f>
        <v>120</v>
      </c>
      <c r="J55" s="293">
        <f ca="1">IF(I55="","",(VLOOKUP($D55,master_food_list,'Master Food List'!S$91,FALSE)))</f>
        <v>0</v>
      </c>
      <c r="K55" s="293">
        <f ca="1">IF(J55="","",(VLOOKUP($D55,master_food_list,'Master Food List'!T$91,FALSE)))</f>
        <v>150</v>
      </c>
      <c r="M55" s="248" t="s">
        <v>409</v>
      </c>
      <c r="N55" s="249">
        <v>4</v>
      </c>
    </row>
    <row r="56" spans="1:14" customFormat="1" ht="17" x14ac:dyDescent="0.2">
      <c r="A56" s="286">
        <v>7</v>
      </c>
      <c r="B56" s="287" t="s">
        <v>463</v>
      </c>
      <c r="C56" s="287" t="s">
        <v>460</v>
      </c>
      <c r="D56" s="288"/>
      <c r="E56" s="293" t="str">
        <f>IF(D56="","",(VLOOKUP($D56,master_food_list,'Master Food List'!N$91,FALSE)))</f>
        <v/>
      </c>
      <c r="F56" s="293" t="str">
        <f>IF(E56="","",(VLOOKUP($D56,master_food_list,'Master Food List'!O$91,FALSE)))</f>
        <v/>
      </c>
      <c r="G56" s="293" t="str">
        <f>IF(F56="","",(VLOOKUP($D56,master_food_list,'Master Food List'!P$91,FALSE)))</f>
        <v/>
      </c>
      <c r="H56" s="293" t="str">
        <f>IF(G56="","",(VLOOKUP($D56,master_food_list,'Master Food List'!Q$91,FALSE)))</f>
        <v/>
      </c>
      <c r="I56" s="293" t="str">
        <f>IF(H56="","",(VLOOKUP($D56,master_food_list,'Master Food List'!R$91,FALSE)))</f>
        <v/>
      </c>
      <c r="J56" s="293" t="str">
        <f>IF(I56="","",(VLOOKUP($D56,master_food_list,'Master Food List'!S$91,FALSE)))</f>
        <v/>
      </c>
      <c r="K56" s="293" t="str">
        <f>IF(J56="","",(VLOOKUP($D56,master_food_list,'Master Food List'!T$91,FALSE)))</f>
        <v/>
      </c>
      <c r="M56" s="248" t="s">
        <v>436</v>
      </c>
      <c r="N56" s="249">
        <v>2</v>
      </c>
    </row>
    <row r="57" spans="1:14" customFormat="1" ht="51" x14ac:dyDescent="0.2">
      <c r="A57" s="286">
        <v>7</v>
      </c>
      <c r="B57" s="287" t="s">
        <v>463</v>
      </c>
      <c r="C57" s="287" t="s">
        <v>459</v>
      </c>
      <c r="D57" s="288" t="s">
        <v>433</v>
      </c>
      <c r="E57" s="293">
        <f ca="1">IF(D57="","",(VLOOKUP($D57,master_food_list,'Master Food List'!N$91,FALSE)))</f>
        <v>280</v>
      </c>
      <c r="F57" s="293">
        <f ca="1">IF(E57="","",(VLOOKUP($D57,master_food_list,'Master Food List'!O$91,FALSE)))</f>
        <v>34</v>
      </c>
      <c r="G57" s="293">
        <f ca="1">IF(F57="","",(VLOOKUP($D57,master_food_list,'Master Food List'!P$91,FALSE)))</f>
        <v>2</v>
      </c>
      <c r="H57" s="293">
        <f ca="1">IF(G57="","",(VLOOKUP($D57,master_food_list,'Master Food List'!Q$91,FALSE)))</f>
        <v>17</v>
      </c>
      <c r="I57" s="293">
        <f ca="1">IF(H57="","",(VLOOKUP($D57,master_food_list,'Master Food List'!R$91,FALSE)))</f>
        <v>0</v>
      </c>
      <c r="J57" s="293">
        <f ca="1">IF(I57="","",(VLOOKUP($D57,master_food_list,'Master Food List'!S$91,FALSE)))</f>
        <v>0</v>
      </c>
      <c r="K57" s="293">
        <f ca="1">IF(J57="","",(VLOOKUP($D57,master_food_list,'Master Food List'!T$91,FALSE)))</f>
        <v>140</v>
      </c>
      <c r="M57" s="248" t="s">
        <v>493</v>
      </c>
      <c r="N57" s="249">
        <v>4</v>
      </c>
    </row>
    <row r="58" spans="1:14" customFormat="1" ht="34" x14ac:dyDescent="0.2">
      <c r="A58" s="286">
        <v>7</v>
      </c>
      <c r="B58" s="287" t="s">
        <v>463</v>
      </c>
      <c r="C58" s="287" t="s">
        <v>458</v>
      </c>
      <c r="D58" s="288" t="s">
        <v>409</v>
      </c>
      <c r="E58" s="293">
        <f ca="1">IF(D58="","",(VLOOKUP($D58,master_food_list,'Master Food List'!N$91,FALSE)))</f>
        <v>480</v>
      </c>
      <c r="F58" s="293">
        <f ca="1">IF(E58="","",(VLOOKUP($D58,master_food_list,'Master Food List'!O$91,FALSE)))</f>
        <v>84</v>
      </c>
      <c r="G58" s="293">
        <f ca="1">IF(F58="","",(VLOOKUP($D58,master_food_list,'Master Food List'!P$91,FALSE)))</f>
        <v>30</v>
      </c>
      <c r="H58" s="293">
        <f ca="1">IF(G58="","",(VLOOKUP($D58,master_food_list,'Master Food List'!Q$91,FALSE)))</f>
        <v>3</v>
      </c>
      <c r="I58" s="293">
        <f ca="1">IF(H58="","",(VLOOKUP($D58,master_food_list,'Master Food List'!R$91,FALSE)))</f>
        <v>1530</v>
      </c>
      <c r="J58" s="293">
        <f ca="1">IF(I58="","",(VLOOKUP($D58,master_food_list,'Master Food List'!S$91,FALSE)))</f>
        <v>0</v>
      </c>
      <c r="K58" s="293">
        <f ca="1">IF(J58="","",(VLOOKUP($D58,master_food_list,'Master Food List'!T$91,FALSE)))</f>
        <v>101.93905817174515</v>
      </c>
      <c r="M58" s="248" t="s">
        <v>449</v>
      </c>
      <c r="N58" s="249">
        <v>1</v>
      </c>
    </row>
    <row r="59" spans="1:14" customFormat="1" ht="17" x14ac:dyDescent="0.2">
      <c r="A59" s="286">
        <v>7</v>
      </c>
      <c r="B59" s="287" t="s">
        <v>463</v>
      </c>
      <c r="C59" s="287" t="s">
        <v>457</v>
      </c>
      <c r="D59" s="288" t="s">
        <v>479</v>
      </c>
      <c r="E59" s="293">
        <f ca="1">IF(D59="","",(VLOOKUP($D59,master_food_list,'Master Food List'!N$91,FALSE)))</f>
        <v>300</v>
      </c>
      <c r="F59" s="293">
        <f ca="1">IF(E59="","",(VLOOKUP($D59,master_food_list,'Master Food List'!O$91,FALSE)))</f>
        <v>10.5</v>
      </c>
      <c r="G59" s="293">
        <f ca="1">IF(F59="","",(VLOOKUP($D59,master_food_list,'Master Food List'!P$91,FALSE)))</f>
        <v>10.5</v>
      </c>
      <c r="H59" s="293">
        <f ca="1">IF(G59="","",(VLOOKUP($D59,master_food_list,'Master Food List'!Q$91,FALSE)))</f>
        <v>25.5</v>
      </c>
      <c r="I59" s="293">
        <f ca="1">IF(H59="","",(VLOOKUP($D59,master_food_list,'Master Food List'!R$91,FALSE)))</f>
        <v>150</v>
      </c>
      <c r="J59" s="293">
        <f ca="1">IF(I59="","",(VLOOKUP($D59,master_food_list,'Master Food List'!S$91,FALSE)))</f>
        <v>0</v>
      </c>
      <c r="K59" s="293">
        <f ca="1">IF(J59="","",(VLOOKUP($D59,master_food_list,'Master Food List'!T$91,FALSE)))</f>
        <v>177.77777777777777</v>
      </c>
      <c r="M59" s="194" t="s">
        <v>457</v>
      </c>
      <c r="N59" s="245"/>
    </row>
    <row r="60" spans="1:14" customFormat="1" ht="17" x14ac:dyDescent="0.2">
      <c r="A60" s="286">
        <v>7</v>
      </c>
      <c r="B60" s="287" t="s">
        <v>463</v>
      </c>
      <c r="C60" s="287" t="s">
        <v>455</v>
      </c>
      <c r="D60" s="288" t="s">
        <v>484</v>
      </c>
      <c r="E60" s="293">
        <f ca="1">IF(D60="","",(VLOOKUP($D60,master_food_list,'Master Food List'!N$91,FALSE)))</f>
        <v>540</v>
      </c>
      <c r="F60" s="293">
        <f ca="1">IF(E60="","",(VLOOKUP($D60,master_food_list,'Master Food List'!O$91,FALSE)))</f>
        <v>72</v>
      </c>
      <c r="G60" s="293">
        <f ca="1">IF(F60="","",(VLOOKUP($D60,master_food_list,'Master Food List'!P$91,FALSE)))</f>
        <v>14</v>
      </c>
      <c r="H60" s="293">
        <f ca="1">IF(G60="","",(VLOOKUP($D60,master_food_list,'Master Food List'!Q$91,FALSE)))</f>
        <v>22</v>
      </c>
      <c r="I60" s="293">
        <f ca="1">IF(H60="","",(VLOOKUP($D60,master_food_list,'Master Food List'!R$91,FALSE)))</f>
        <v>780</v>
      </c>
      <c r="J60" s="293">
        <f ca="1">IF(I60="","",(VLOOKUP($D60,master_food_list,'Master Food List'!S$91,FALSE)))</f>
        <v>0</v>
      </c>
      <c r="K60" s="293">
        <f ca="1">IF(J60="","",(VLOOKUP($D60,master_food_list,'Master Food List'!T$91,FALSE)))</f>
        <v>117.39130434782609</v>
      </c>
      <c r="M60" s="244" t="s">
        <v>479</v>
      </c>
      <c r="N60" s="245">
        <v>24</v>
      </c>
    </row>
    <row r="61" spans="1:14" s="189" customFormat="1" ht="34" x14ac:dyDescent="0.2">
      <c r="A61" s="282">
        <v>8</v>
      </c>
      <c r="B61" s="283" t="s">
        <v>463</v>
      </c>
      <c r="C61" s="283" t="s">
        <v>462</v>
      </c>
      <c r="D61" s="284" t="s">
        <v>480</v>
      </c>
      <c r="E61" s="292">
        <f ca="1">IF(D61="","",(VLOOKUP($D61,master_food_list,'Master Food List'!N$91,FALSE)))</f>
        <v>620</v>
      </c>
      <c r="F61" s="292">
        <f ca="1">IF(E61="","",(VLOOKUP($D61,master_food_list,'Master Food List'!O$91,FALSE)))</f>
        <v>74</v>
      </c>
      <c r="G61" s="292">
        <f ca="1">IF(F61="","",(VLOOKUP($D61,master_food_list,'Master Food List'!P$91,FALSE)))</f>
        <v>16</v>
      </c>
      <c r="H61" s="292">
        <f ca="1">IF(G61="","",(VLOOKUP($D61,master_food_list,'Master Food List'!Q$91,FALSE)))</f>
        <v>31</v>
      </c>
      <c r="I61" s="292">
        <f ca="1">IF(H61="","",(VLOOKUP($D61,master_food_list,'Master Food List'!R$91,FALSE)))</f>
        <v>280</v>
      </c>
      <c r="J61" s="292">
        <f ca="1">IF(I61="","",(VLOOKUP($D61,master_food_list,'Master Food List'!S$91,FALSE)))</f>
        <v>0</v>
      </c>
      <c r="K61" s="292">
        <f ca="1">IF(J61="","",(VLOOKUP($D61,master_food_list,'Master Food List'!T$91,FALSE)))</f>
        <v>130.52631578947367</v>
      </c>
      <c r="M61" s="244" t="s">
        <v>516</v>
      </c>
      <c r="N61" s="245"/>
    </row>
    <row r="62" spans="1:14" s="189" customFormat="1" ht="34" x14ac:dyDescent="0.2">
      <c r="A62" s="282">
        <v>8</v>
      </c>
      <c r="B62" s="283" t="s">
        <v>463</v>
      </c>
      <c r="C62" s="283" t="s">
        <v>461</v>
      </c>
      <c r="D62" s="284" t="s">
        <v>397</v>
      </c>
      <c r="E62" s="292">
        <f ca="1">IF(D62="","",(VLOOKUP($D62,master_food_list,'Master Food List'!N$91,FALSE)))</f>
        <v>280</v>
      </c>
      <c r="F62" s="292">
        <f ca="1">IF(E62="","",(VLOOKUP($D62,master_food_list,'Master Food List'!O$91,FALSE)))</f>
        <v>29</v>
      </c>
      <c r="G62" s="292">
        <f ca="1">IF(F62="","",(VLOOKUP($D62,master_food_list,'Master Food List'!P$91,FALSE)))</f>
        <v>20</v>
      </c>
      <c r="H62" s="292">
        <f ca="1">IF(G62="","",(VLOOKUP($D62,master_food_list,'Master Food List'!Q$91,FALSE)))</f>
        <v>10</v>
      </c>
      <c r="I62" s="292">
        <f ca="1">IF(H62="","",(VLOOKUP($D62,master_food_list,'Master Food List'!R$91,FALSE)))</f>
        <v>360</v>
      </c>
      <c r="J62" s="292">
        <f ca="1">IF(I62="","",(VLOOKUP($D62,master_food_list,'Master Food List'!S$91,FALSE)))</f>
        <v>0</v>
      </c>
      <c r="K62" s="292">
        <f ca="1">IF(J62="","",(VLOOKUP($D62,master_food_list,'Master Food List'!T$91,FALSE)))</f>
        <v>116.66666666666667</v>
      </c>
      <c r="M62" s="194" t="s">
        <v>455</v>
      </c>
      <c r="N62" s="245"/>
    </row>
    <row r="63" spans="1:14" s="189" customFormat="1" ht="17" x14ac:dyDescent="0.2">
      <c r="A63" s="282">
        <v>8</v>
      </c>
      <c r="B63" s="283" t="s">
        <v>463</v>
      </c>
      <c r="C63" s="283" t="s">
        <v>460</v>
      </c>
      <c r="D63" s="284"/>
      <c r="E63" s="292" t="str">
        <f>IF(D63="","",(VLOOKUP($D63,master_food_list,'Master Food List'!N$91,FALSE)))</f>
        <v/>
      </c>
      <c r="F63" s="292" t="str">
        <f>IF(E63="","",(VLOOKUP($D63,master_food_list,'Master Food List'!O$91,FALSE)))</f>
        <v/>
      </c>
      <c r="G63" s="292" t="str">
        <f>IF(F63="","",(VLOOKUP($D63,master_food_list,'Master Food List'!P$91,FALSE)))</f>
        <v/>
      </c>
      <c r="H63" s="292" t="str">
        <f>IF(G63="","",(VLOOKUP($D63,master_food_list,'Master Food List'!Q$91,FALSE)))</f>
        <v/>
      </c>
      <c r="I63" s="292" t="str">
        <f>IF(H63="","",(VLOOKUP($D63,master_food_list,'Master Food List'!R$91,FALSE)))</f>
        <v/>
      </c>
      <c r="J63" s="292" t="str">
        <f>IF(I63="","",(VLOOKUP($D63,master_food_list,'Master Food List'!S$91,FALSE)))</f>
        <v/>
      </c>
      <c r="K63" s="292" t="str">
        <f>IF(J63="","",(VLOOKUP($D63,master_food_list,'Master Food List'!T$91,FALSE)))</f>
        <v/>
      </c>
      <c r="M63" s="248" t="s">
        <v>478</v>
      </c>
      <c r="N63" s="249">
        <v>3</v>
      </c>
    </row>
    <row r="64" spans="1:14" s="189" customFormat="1" ht="51" x14ac:dyDescent="0.2">
      <c r="A64" s="282">
        <v>8</v>
      </c>
      <c r="B64" s="283" t="s">
        <v>463</v>
      </c>
      <c r="C64" s="283" t="s">
        <v>459</v>
      </c>
      <c r="D64" s="284" t="s">
        <v>430</v>
      </c>
      <c r="E64" s="292">
        <f ca="1">IF(D64="","",(VLOOKUP($D64,master_food_list,'Master Food List'!N$91,FALSE)))</f>
        <v>510</v>
      </c>
      <c r="F64" s="292">
        <f ca="1">IF(E64="","",(VLOOKUP($D64,master_food_list,'Master Food List'!O$91,FALSE)))</f>
        <v>42</v>
      </c>
      <c r="G64" s="292">
        <f ca="1">IF(F64="","",(VLOOKUP($D64,master_food_list,'Master Food List'!P$91,FALSE)))</f>
        <v>10.5</v>
      </c>
      <c r="H64" s="292">
        <f ca="1">IF(G64="","",(VLOOKUP($D64,master_food_list,'Master Food List'!Q$91,FALSE)))</f>
        <v>33</v>
      </c>
      <c r="I64" s="292">
        <f ca="1">IF(H64="","",(VLOOKUP($D64,master_food_list,'Master Food List'!R$91,FALSE)))</f>
        <v>75</v>
      </c>
      <c r="J64" s="292">
        <f ca="1">IF(I64="","",(VLOOKUP($D64,master_food_list,'Master Food List'!S$91,FALSE)))</f>
        <v>0</v>
      </c>
      <c r="K64" s="292">
        <f ca="1">IF(J64="","",(VLOOKUP($D64,master_food_list,'Master Food List'!T$91,FALSE)))</f>
        <v>170</v>
      </c>
      <c r="M64" s="248" t="s">
        <v>484</v>
      </c>
      <c r="N64" s="249">
        <v>5</v>
      </c>
    </row>
    <row r="65" spans="1:14" s="189" customFormat="1" ht="34" x14ac:dyDescent="0.2">
      <c r="A65" s="282">
        <v>8</v>
      </c>
      <c r="B65" s="283" t="s">
        <v>463</v>
      </c>
      <c r="C65" s="283" t="s">
        <v>458</v>
      </c>
      <c r="D65" s="284" t="s">
        <v>486</v>
      </c>
      <c r="E65" s="292">
        <f ca="1">IF(D65="","",(VLOOKUP($D65,master_food_list,'Master Food List'!N$91,FALSE)))</f>
        <v>960</v>
      </c>
      <c r="F65" s="292">
        <f ca="1">IF(E65="","",(VLOOKUP($D65,master_food_list,'Master Food List'!O$91,FALSE)))</f>
        <v>178</v>
      </c>
      <c r="G65" s="292">
        <f ca="1">IF(F65="","",(VLOOKUP($D65,master_food_list,'Master Food List'!P$91,FALSE)))</f>
        <v>34</v>
      </c>
      <c r="H65" s="292">
        <f ca="1">IF(G65="","",(VLOOKUP($D65,master_food_list,'Master Food List'!Q$91,FALSE)))</f>
        <v>12</v>
      </c>
      <c r="I65" s="292">
        <f ca="1">IF(H65="","",(VLOOKUP($D65,master_food_list,'Master Food List'!R$91,FALSE)))</f>
        <v>1620</v>
      </c>
      <c r="J65" s="292">
        <f ca="1">IF(I65="","",(VLOOKUP($D65,master_food_list,'Master Food List'!S$91,FALSE)))</f>
        <v>0</v>
      </c>
      <c r="K65" s="292">
        <f ca="1">IF(J65="","",(VLOOKUP($D65,master_food_list,'Master Food List'!T$91,FALSE)))</f>
        <v>109.09090909090908</v>
      </c>
      <c r="M65" s="248" t="s">
        <v>482</v>
      </c>
      <c r="N65" s="249">
        <v>16</v>
      </c>
    </row>
    <row r="66" spans="1:14" s="189" customFormat="1" ht="17" x14ac:dyDescent="0.2">
      <c r="A66" s="282">
        <v>8</v>
      </c>
      <c r="B66" s="283" t="s">
        <v>463</v>
      </c>
      <c r="C66" s="283" t="s">
        <v>457</v>
      </c>
      <c r="D66" s="284" t="s">
        <v>479</v>
      </c>
      <c r="E66" s="292">
        <f ca="1">IF(D66="","",(VLOOKUP($D66,master_food_list,'Master Food List'!N$91,FALSE)))</f>
        <v>300</v>
      </c>
      <c r="F66" s="292">
        <f ca="1">IF(E66="","",(VLOOKUP($D66,master_food_list,'Master Food List'!O$91,FALSE)))</f>
        <v>10.5</v>
      </c>
      <c r="G66" s="292">
        <f ca="1">IF(F66="","",(VLOOKUP($D66,master_food_list,'Master Food List'!P$91,FALSE)))</f>
        <v>10.5</v>
      </c>
      <c r="H66" s="292">
        <f ca="1">IF(G66="","",(VLOOKUP($D66,master_food_list,'Master Food List'!Q$91,FALSE)))</f>
        <v>25.5</v>
      </c>
      <c r="I66" s="292">
        <f ca="1">IF(H66="","",(VLOOKUP($D66,master_food_list,'Master Food List'!R$91,FALSE)))</f>
        <v>150</v>
      </c>
      <c r="J66" s="292">
        <f ca="1">IF(I66="","",(VLOOKUP($D66,master_food_list,'Master Food List'!S$91,FALSE)))</f>
        <v>0</v>
      </c>
      <c r="K66" s="292">
        <f ca="1">IF(J66="","",(VLOOKUP($D66,master_food_list,'Master Food List'!T$91,FALSE)))</f>
        <v>177.77777777777777</v>
      </c>
      <c r="M66" s="248" t="s">
        <v>313</v>
      </c>
      <c r="N66" s="249">
        <v>4</v>
      </c>
    </row>
    <row r="67" spans="1:14" s="189" customFormat="1" ht="17" x14ac:dyDescent="0.2">
      <c r="A67" s="282">
        <v>8</v>
      </c>
      <c r="B67" s="283" t="s">
        <v>463</v>
      </c>
      <c r="C67" s="283" t="s">
        <v>455</v>
      </c>
      <c r="D67" s="284" t="s">
        <v>482</v>
      </c>
      <c r="E67" s="292">
        <f ca="1">IF(D67="","",(VLOOKUP($D67,master_food_list,'Master Food List'!N$91,FALSE)))</f>
        <v>110</v>
      </c>
      <c r="F67" s="292">
        <f ca="1">IF(E67="","",(VLOOKUP($D67,master_food_list,'Master Food List'!O$91,FALSE)))</f>
        <v>21</v>
      </c>
      <c r="G67" s="292">
        <f ca="1">IF(F67="","",(VLOOKUP($D67,master_food_list,'Master Food List'!P$91,FALSE)))</f>
        <v>1</v>
      </c>
      <c r="H67" s="292">
        <f ca="1">IF(G67="","",(VLOOKUP($D67,master_food_list,'Master Food List'!Q$91,FALSE)))</f>
        <v>2</v>
      </c>
      <c r="I67" s="292">
        <f ca="1">IF(H67="","",(VLOOKUP($D67,master_food_list,'Master Food List'!R$91,FALSE)))</f>
        <v>150</v>
      </c>
      <c r="J67" s="292">
        <f ca="1">IF(I67="","",(VLOOKUP($D67,master_food_list,'Master Food List'!S$91,FALSE)))</f>
        <v>0</v>
      </c>
      <c r="K67" s="292">
        <f ca="1">IF(J67="","",(VLOOKUP($D67,master_food_list,'Master Food List'!T$91,FALSE)))</f>
        <v>118.27956989247312</v>
      </c>
      <c r="M67" s="248" t="s">
        <v>483</v>
      </c>
      <c r="N67" s="249">
        <v>1</v>
      </c>
    </row>
    <row r="68" spans="1:14" customFormat="1" ht="34" x14ac:dyDescent="0.2">
      <c r="A68" s="286">
        <v>9</v>
      </c>
      <c r="B68" s="287" t="s">
        <v>463</v>
      </c>
      <c r="C68" s="287" t="s">
        <v>462</v>
      </c>
      <c r="D68" s="288" t="s">
        <v>480</v>
      </c>
      <c r="E68" s="293">
        <f ca="1">IF(D68="","",(VLOOKUP($D68,master_food_list,'Master Food List'!N$91,FALSE)))</f>
        <v>620</v>
      </c>
      <c r="F68" s="293">
        <f ca="1">IF(E68="","",(VLOOKUP($D68,master_food_list,'Master Food List'!O$91,FALSE)))</f>
        <v>74</v>
      </c>
      <c r="G68" s="293">
        <f ca="1">IF(F68="","",(VLOOKUP($D68,master_food_list,'Master Food List'!P$91,FALSE)))</f>
        <v>16</v>
      </c>
      <c r="H68" s="293">
        <f ca="1">IF(G68="","",(VLOOKUP($D68,master_food_list,'Master Food List'!Q$91,FALSE)))</f>
        <v>31</v>
      </c>
      <c r="I68" s="293">
        <f ca="1">IF(H68="","",(VLOOKUP($D68,master_food_list,'Master Food List'!R$91,FALSE)))</f>
        <v>280</v>
      </c>
      <c r="J68" s="293">
        <f ca="1">IF(I68="","",(VLOOKUP($D68,master_food_list,'Master Food List'!S$91,FALSE)))</f>
        <v>0</v>
      </c>
      <c r="K68" s="293">
        <f ca="1">IF(J68="","",(VLOOKUP($D68,master_food_list,'Master Food List'!T$91,FALSE)))</f>
        <v>130.52631578947367</v>
      </c>
      <c r="M68" s="194" t="s">
        <v>532</v>
      </c>
      <c r="N68" s="245">
        <v>180</v>
      </c>
    </row>
    <row r="69" spans="1:14" customFormat="1" ht="34" x14ac:dyDescent="0.2">
      <c r="A69" s="286">
        <v>9</v>
      </c>
      <c r="B69" s="287" t="s">
        <v>463</v>
      </c>
      <c r="C69" s="287" t="s">
        <v>461</v>
      </c>
      <c r="D69" s="288" t="s">
        <v>489</v>
      </c>
      <c r="E69" s="293">
        <f ca="1">IF(D69="","",(VLOOKUP($D69,master_food_list,'Master Food List'!N$91,FALSE)))</f>
        <v>200</v>
      </c>
      <c r="F69" s="293">
        <f ca="1">IF(E69="","",(VLOOKUP($D69,master_food_list,'Master Food List'!O$91,FALSE)))</f>
        <v>25</v>
      </c>
      <c r="G69" s="293">
        <f ca="1">IF(F69="","",(VLOOKUP($D69,master_food_list,'Master Food List'!P$91,FALSE)))</f>
        <v>22.5</v>
      </c>
      <c r="H69" s="293">
        <f ca="1">IF(G69="","",(VLOOKUP($D69,master_food_list,'Master Food List'!Q$91,FALSE)))</f>
        <v>1.25</v>
      </c>
      <c r="I69" s="293">
        <f ca="1">IF(H69="","",(VLOOKUP($D69,master_food_list,'Master Food List'!R$91,FALSE)))</f>
        <v>800</v>
      </c>
      <c r="J69" s="293">
        <f ca="1">IF(I69="","",(VLOOKUP($D69,master_food_list,'Master Food List'!S$91,FALSE)))</f>
        <v>0</v>
      </c>
      <c r="K69" s="293">
        <f ca="1">IF(J69="","",(VLOOKUP($D69,master_food_list,'Master Food List'!T$91,FALSE)))</f>
        <v>74.074074074074076</v>
      </c>
    </row>
    <row r="70" spans="1:14" customFormat="1" ht="17" x14ac:dyDescent="0.2">
      <c r="A70" s="286">
        <v>9</v>
      </c>
      <c r="B70" s="287" t="s">
        <v>463</v>
      </c>
      <c r="C70" s="287" t="s">
        <v>460</v>
      </c>
      <c r="D70" s="288"/>
      <c r="E70" s="293" t="str">
        <f>IF(D70="","",(VLOOKUP($D70,master_food_list,'Master Food List'!N$91,FALSE)))</f>
        <v/>
      </c>
      <c r="F70" s="293" t="str">
        <f>IF(E70="","",(VLOOKUP($D70,master_food_list,'Master Food List'!O$91,FALSE)))</f>
        <v/>
      </c>
      <c r="G70" s="293" t="str">
        <f>IF(F70="","",(VLOOKUP($D70,master_food_list,'Master Food List'!P$91,FALSE)))</f>
        <v/>
      </c>
      <c r="H70" s="293" t="str">
        <f>IF(G70="","",(VLOOKUP($D70,master_food_list,'Master Food List'!Q$91,FALSE)))</f>
        <v/>
      </c>
      <c r="I70" s="293" t="str">
        <f>IF(H70="","",(VLOOKUP($D70,master_food_list,'Master Food List'!R$91,FALSE)))</f>
        <v/>
      </c>
      <c r="J70" s="293" t="str">
        <f>IF(I70="","",(VLOOKUP($D70,master_food_list,'Master Food List'!S$91,FALSE)))</f>
        <v/>
      </c>
      <c r="K70" s="293" t="str">
        <f>IF(J70="","",(VLOOKUP($D70,master_food_list,'Master Food List'!T$91,FALSE)))</f>
        <v/>
      </c>
    </row>
    <row r="71" spans="1:14" customFormat="1" ht="34" x14ac:dyDescent="0.2">
      <c r="A71" s="286">
        <v>9</v>
      </c>
      <c r="B71" s="287" t="s">
        <v>463</v>
      </c>
      <c r="C71" s="287" t="s">
        <v>459</v>
      </c>
      <c r="D71" s="288" t="s">
        <v>427</v>
      </c>
      <c r="E71" s="293">
        <f ca="1">IF(D71="","",(VLOOKUP($D71,master_food_list,'Master Food List'!N$91,FALSE)))</f>
        <v>300</v>
      </c>
      <c r="F71" s="293">
        <f ca="1">IF(E71="","",(VLOOKUP($D71,master_food_list,'Master Food List'!O$91,FALSE)))</f>
        <v>24</v>
      </c>
      <c r="G71" s="293">
        <f ca="1">IF(F71="","",(VLOOKUP($D71,master_food_list,'Master Food List'!P$91,FALSE)))</f>
        <v>8</v>
      </c>
      <c r="H71" s="293">
        <f ca="1">IF(G71="","",(VLOOKUP($D71,master_food_list,'Master Food List'!Q$91,FALSE)))</f>
        <v>20</v>
      </c>
      <c r="I71" s="293">
        <f ca="1">IF(H71="","",(VLOOKUP($D71,master_food_list,'Master Food List'!R$91,FALSE)))</f>
        <v>120</v>
      </c>
      <c r="J71" s="293">
        <f ca="1">IF(I71="","",(VLOOKUP($D71,master_food_list,'Master Food List'!S$91,FALSE)))</f>
        <v>0</v>
      </c>
      <c r="K71" s="293">
        <f ca="1">IF(J71="","",(VLOOKUP($D71,master_food_list,'Master Food List'!T$91,FALSE)))</f>
        <v>150</v>
      </c>
    </row>
    <row r="72" spans="1:14" customFormat="1" ht="34" x14ac:dyDescent="0.2">
      <c r="A72" s="286">
        <v>9</v>
      </c>
      <c r="B72" s="287" t="s">
        <v>463</v>
      </c>
      <c r="C72" s="287" t="s">
        <v>458</v>
      </c>
      <c r="D72" s="288" t="s">
        <v>491</v>
      </c>
      <c r="E72" s="293">
        <f ca="1">IF(D72="","",(VLOOKUP($D72,master_food_list,'Master Food List'!N$91,FALSE)))</f>
        <v>420</v>
      </c>
      <c r="F72" s="293">
        <f ca="1">IF(E72="","",(VLOOKUP($D72,master_food_list,'Master Food List'!O$91,FALSE)))</f>
        <v>44</v>
      </c>
      <c r="G72" s="293">
        <f ca="1">IF(F72="","",(VLOOKUP($D72,master_food_list,'Master Food List'!P$91,FALSE)))</f>
        <v>44</v>
      </c>
      <c r="H72" s="293">
        <f ca="1">IF(G72="","",(VLOOKUP($D72,master_food_list,'Master Food List'!Q$91,FALSE)))</f>
        <v>7</v>
      </c>
      <c r="I72" s="293">
        <f ca="1">IF(H72="","",(VLOOKUP($D72,master_food_list,'Master Food List'!R$91,FALSE)))</f>
        <v>1620</v>
      </c>
      <c r="J72" s="293">
        <f ca="1">IF(I72="","",(VLOOKUP($D72,master_food_list,'Master Food List'!S$91,FALSE)))</f>
        <v>0</v>
      </c>
      <c r="K72" s="293">
        <f ca="1">IF(J72="","",(VLOOKUP($D72,master_food_list,'Master Food List'!T$91,FALSE)))</f>
        <v>113.5135135135135</v>
      </c>
    </row>
    <row r="73" spans="1:14" customFormat="1" ht="17" x14ac:dyDescent="0.2">
      <c r="A73" s="286">
        <v>9</v>
      </c>
      <c r="B73" s="287" t="s">
        <v>463</v>
      </c>
      <c r="C73" s="287" t="s">
        <v>457</v>
      </c>
      <c r="D73" s="288" t="s">
        <v>479</v>
      </c>
      <c r="E73" s="293">
        <f ca="1">IF(D73="","",(VLOOKUP($D73,master_food_list,'Master Food List'!N$91,FALSE)))</f>
        <v>300</v>
      </c>
      <c r="F73" s="293">
        <f ca="1">IF(E73="","",(VLOOKUP($D73,master_food_list,'Master Food List'!O$91,FALSE)))</f>
        <v>10.5</v>
      </c>
      <c r="G73" s="293">
        <f ca="1">IF(F73="","",(VLOOKUP($D73,master_food_list,'Master Food List'!P$91,FALSE)))</f>
        <v>10.5</v>
      </c>
      <c r="H73" s="293">
        <f ca="1">IF(G73="","",(VLOOKUP($D73,master_food_list,'Master Food List'!Q$91,FALSE)))</f>
        <v>25.5</v>
      </c>
      <c r="I73" s="293">
        <f ca="1">IF(H73="","",(VLOOKUP($D73,master_food_list,'Master Food List'!R$91,FALSE)))</f>
        <v>150</v>
      </c>
      <c r="J73" s="293">
        <f ca="1">IF(I73="","",(VLOOKUP($D73,master_food_list,'Master Food List'!S$91,FALSE)))</f>
        <v>0</v>
      </c>
      <c r="K73" s="293">
        <f ca="1">IF(J73="","",(VLOOKUP($D73,master_food_list,'Master Food List'!T$91,FALSE)))</f>
        <v>177.77777777777777</v>
      </c>
    </row>
    <row r="74" spans="1:14" customFormat="1" ht="17" x14ac:dyDescent="0.2">
      <c r="A74" s="286">
        <v>9</v>
      </c>
      <c r="B74" s="287" t="s">
        <v>463</v>
      </c>
      <c r="C74" s="287" t="s">
        <v>455</v>
      </c>
      <c r="D74" s="288" t="s">
        <v>482</v>
      </c>
      <c r="E74" s="293">
        <f ca="1">IF(D74="","",(VLOOKUP($D74,master_food_list,'Master Food List'!N$91,FALSE)))</f>
        <v>110</v>
      </c>
      <c r="F74" s="293">
        <f ca="1">IF(E74="","",(VLOOKUP($D74,master_food_list,'Master Food List'!O$91,FALSE)))</f>
        <v>21</v>
      </c>
      <c r="G74" s="293">
        <f ca="1">IF(F74="","",(VLOOKUP($D74,master_food_list,'Master Food List'!P$91,FALSE)))</f>
        <v>1</v>
      </c>
      <c r="H74" s="293">
        <f ca="1">IF(G74="","",(VLOOKUP($D74,master_food_list,'Master Food List'!Q$91,FALSE)))</f>
        <v>2</v>
      </c>
      <c r="I74" s="293">
        <f ca="1">IF(H74="","",(VLOOKUP($D74,master_food_list,'Master Food List'!R$91,FALSE)))</f>
        <v>150</v>
      </c>
      <c r="J74" s="293">
        <f ca="1">IF(I74="","",(VLOOKUP($D74,master_food_list,'Master Food List'!S$91,FALSE)))</f>
        <v>0</v>
      </c>
      <c r="K74" s="293">
        <f ca="1">IF(J74="","",(VLOOKUP($D74,master_food_list,'Master Food List'!T$91,FALSE)))</f>
        <v>118.27956989247312</v>
      </c>
    </row>
    <row r="75" spans="1:14" customFormat="1" ht="34" x14ac:dyDescent="0.2">
      <c r="A75" s="286">
        <v>10</v>
      </c>
      <c r="B75" s="287" t="s">
        <v>463</v>
      </c>
      <c r="C75" s="287" t="s">
        <v>462</v>
      </c>
      <c r="D75" s="288" t="s">
        <v>485</v>
      </c>
      <c r="E75" s="293">
        <f ca="1">IF(D75="","",(VLOOKUP($D75,master_food_list,'Master Food List'!N$91,FALSE)))</f>
        <v>500</v>
      </c>
      <c r="F75" s="293">
        <f ca="1">IF(E75="","",(VLOOKUP($D75,master_food_list,'Master Food List'!O$91,FALSE)))</f>
        <v>74</v>
      </c>
      <c r="G75" s="293">
        <f ca="1">IF(F75="","",(VLOOKUP($D75,master_food_list,'Master Food List'!P$91,FALSE)))</f>
        <v>16</v>
      </c>
      <c r="H75" s="293">
        <f ca="1">IF(G75="","",(VLOOKUP($D75,master_food_list,'Master Food List'!Q$91,FALSE)))</f>
        <v>18</v>
      </c>
      <c r="I75" s="293">
        <f ca="1">IF(H75="","",(VLOOKUP($D75,master_food_list,'Master Food List'!R$91,FALSE)))</f>
        <v>130</v>
      </c>
      <c r="J75" s="293">
        <f ca="1">IF(I75="","",(VLOOKUP($D75,master_food_list,'Master Food List'!S$91,FALSE)))</f>
        <v>0</v>
      </c>
      <c r="K75" s="293">
        <f ca="1">IF(J75="","",(VLOOKUP($D75,master_food_list,'Master Food List'!T$91,FALSE)))</f>
        <v>126.55024044545685</v>
      </c>
    </row>
    <row r="76" spans="1:14" customFormat="1" ht="34" x14ac:dyDescent="0.2">
      <c r="A76" s="286">
        <v>10</v>
      </c>
      <c r="B76" s="287" t="s">
        <v>463</v>
      </c>
      <c r="C76" s="287" t="s">
        <v>461</v>
      </c>
      <c r="D76" s="288" t="s">
        <v>327</v>
      </c>
      <c r="E76" s="293">
        <f ca="1">IF(D76="","",(VLOOKUP($D76,master_food_list,'Master Food List'!N$91,FALSE)))</f>
        <v>130</v>
      </c>
      <c r="F76" s="293">
        <f ca="1">IF(E76="","",(VLOOKUP($D76,master_food_list,'Master Food List'!O$91,FALSE)))</f>
        <v>8</v>
      </c>
      <c r="G76" s="293">
        <f ca="1">IF(F76="","",(VLOOKUP($D76,master_food_list,'Master Food List'!P$91,FALSE)))</f>
        <v>7</v>
      </c>
      <c r="H76" s="293">
        <f ca="1">IF(G76="","",(VLOOKUP($D76,master_food_list,'Master Food List'!Q$91,FALSE)))</f>
        <v>8</v>
      </c>
      <c r="I76" s="293">
        <f ca="1">IF(H76="","",(VLOOKUP($D76,master_food_list,'Master Food List'!R$91,FALSE)))</f>
        <v>320</v>
      </c>
      <c r="J76" s="293">
        <f ca="1">IF(I76="","",(VLOOKUP($D76,master_food_list,'Master Food List'!S$91,FALSE)))</f>
        <v>0</v>
      </c>
      <c r="K76" s="293">
        <f ca="1">IF(J76="","",(VLOOKUP($D76,master_food_list,'Master Food List'!T$91,FALSE)))</f>
        <v>99.999999999999986</v>
      </c>
    </row>
    <row r="77" spans="1:14" customFormat="1" ht="17" x14ac:dyDescent="0.2">
      <c r="A77" s="286">
        <v>10</v>
      </c>
      <c r="B77" s="287" t="s">
        <v>463</v>
      </c>
      <c r="C77" s="287" t="s">
        <v>460</v>
      </c>
      <c r="D77" s="288"/>
      <c r="E77" s="293" t="str">
        <f>IF(D77="","",(VLOOKUP($D77,master_food_list,'Master Food List'!N$91,FALSE)))</f>
        <v/>
      </c>
      <c r="F77" s="293" t="str">
        <f>IF(E77="","",(VLOOKUP($D77,master_food_list,'Master Food List'!O$91,FALSE)))</f>
        <v/>
      </c>
      <c r="G77" s="293" t="str">
        <f>IF(F77="","",(VLOOKUP($D77,master_food_list,'Master Food List'!P$91,FALSE)))</f>
        <v/>
      </c>
      <c r="H77" s="293" t="str">
        <f>IF(G77="","",(VLOOKUP($D77,master_food_list,'Master Food List'!Q$91,FALSE)))</f>
        <v/>
      </c>
      <c r="I77" s="293" t="str">
        <f>IF(H77="","",(VLOOKUP($D77,master_food_list,'Master Food List'!R$91,FALSE)))</f>
        <v/>
      </c>
      <c r="J77" s="293" t="str">
        <f>IF(I77="","",(VLOOKUP($D77,master_food_list,'Master Food List'!S$91,FALSE)))</f>
        <v/>
      </c>
      <c r="K77" s="293" t="str">
        <f>IF(J77="","",(VLOOKUP($D77,master_food_list,'Master Food List'!T$91,FALSE)))</f>
        <v/>
      </c>
    </row>
    <row r="78" spans="1:14" customFormat="1" ht="51" x14ac:dyDescent="0.2">
      <c r="A78" s="286">
        <v>10</v>
      </c>
      <c r="B78" s="287" t="s">
        <v>463</v>
      </c>
      <c r="C78" s="287" t="s">
        <v>459</v>
      </c>
      <c r="D78" s="288" t="s">
        <v>433</v>
      </c>
      <c r="E78" s="293">
        <f ca="1">IF(D78="","",(VLOOKUP($D78,master_food_list,'Master Food List'!N$91,FALSE)))</f>
        <v>280</v>
      </c>
      <c r="F78" s="293">
        <f ca="1">IF(E78="","",(VLOOKUP($D78,master_food_list,'Master Food List'!O$91,FALSE)))</f>
        <v>34</v>
      </c>
      <c r="G78" s="293">
        <f ca="1">IF(F78="","",(VLOOKUP($D78,master_food_list,'Master Food List'!P$91,FALSE)))</f>
        <v>2</v>
      </c>
      <c r="H78" s="293">
        <f ca="1">IF(G78="","",(VLOOKUP($D78,master_food_list,'Master Food List'!Q$91,FALSE)))</f>
        <v>17</v>
      </c>
      <c r="I78" s="293">
        <f ca="1">IF(H78="","",(VLOOKUP($D78,master_food_list,'Master Food List'!R$91,FALSE)))</f>
        <v>0</v>
      </c>
      <c r="J78" s="293">
        <f ca="1">IF(I78="","",(VLOOKUP($D78,master_food_list,'Master Food List'!S$91,FALSE)))</f>
        <v>0</v>
      </c>
      <c r="K78" s="293">
        <f ca="1">IF(J78="","",(VLOOKUP($D78,master_food_list,'Master Food List'!T$91,FALSE)))</f>
        <v>140</v>
      </c>
    </row>
    <row r="79" spans="1:14" customFormat="1" ht="34" x14ac:dyDescent="0.2">
      <c r="A79" s="286">
        <v>10</v>
      </c>
      <c r="B79" s="287" t="s">
        <v>463</v>
      </c>
      <c r="C79" s="287" t="s">
        <v>458</v>
      </c>
      <c r="D79" s="288" t="s">
        <v>409</v>
      </c>
      <c r="E79" s="293">
        <f ca="1">IF(D79="","",(VLOOKUP($D79,master_food_list,'Master Food List'!N$91,FALSE)))</f>
        <v>480</v>
      </c>
      <c r="F79" s="293">
        <f ca="1">IF(E79="","",(VLOOKUP($D79,master_food_list,'Master Food List'!O$91,FALSE)))</f>
        <v>84</v>
      </c>
      <c r="G79" s="293">
        <f ca="1">IF(F79="","",(VLOOKUP($D79,master_food_list,'Master Food List'!P$91,FALSE)))</f>
        <v>30</v>
      </c>
      <c r="H79" s="293">
        <f ca="1">IF(G79="","",(VLOOKUP($D79,master_food_list,'Master Food List'!Q$91,FALSE)))</f>
        <v>3</v>
      </c>
      <c r="I79" s="293">
        <f ca="1">IF(H79="","",(VLOOKUP($D79,master_food_list,'Master Food List'!R$91,FALSE)))</f>
        <v>1530</v>
      </c>
      <c r="J79" s="293">
        <f ca="1">IF(I79="","",(VLOOKUP($D79,master_food_list,'Master Food List'!S$91,FALSE)))</f>
        <v>0</v>
      </c>
      <c r="K79" s="293">
        <f ca="1">IF(J79="","",(VLOOKUP($D79,master_food_list,'Master Food List'!T$91,FALSE)))</f>
        <v>101.93905817174515</v>
      </c>
    </row>
    <row r="80" spans="1:14" customFormat="1" ht="17" x14ac:dyDescent="0.2">
      <c r="A80" s="286">
        <v>10</v>
      </c>
      <c r="B80" s="287" t="s">
        <v>463</v>
      </c>
      <c r="C80" s="287" t="s">
        <v>457</v>
      </c>
      <c r="D80" s="288" t="s">
        <v>479</v>
      </c>
      <c r="E80" s="293">
        <f ca="1">IF(D80="","",(VLOOKUP($D80,master_food_list,'Master Food List'!N$91,FALSE)))</f>
        <v>300</v>
      </c>
      <c r="F80" s="293">
        <f ca="1">IF(E80="","",(VLOOKUP($D80,master_food_list,'Master Food List'!O$91,FALSE)))</f>
        <v>10.5</v>
      </c>
      <c r="G80" s="293">
        <f ca="1">IF(F80="","",(VLOOKUP($D80,master_food_list,'Master Food List'!P$91,FALSE)))</f>
        <v>10.5</v>
      </c>
      <c r="H80" s="293">
        <f ca="1">IF(G80="","",(VLOOKUP($D80,master_food_list,'Master Food List'!Q$91,FALSE)))</f>
        <v>25.5</v>
      </c>
      <c r="I80" s="293">
        <f ca="1">IF(H80="","",(VLOOKUP($D80,master_food_list,'Master Food List'!R$91,FALSE)))</f>
        <v>150</v>
      </c>
      <c r="J80" s="293">
        <f ca="1">IF(I80="","",(VLOOKUP($D80,master_food_list,'Master Food List'!S$91,FALSE)))</f>
        <v>0</v>
      </c>
      <c r="K80" s="293">
        <f ca="1">IF(J80="","",(VLOOKUP($D80,master_food_list,'Master Food List'!T$91,FALSE)))</f>
        <v>177.77777777777777</v>
      </c>
    </row>
    <row r="81" spans="1:13" customFormat="1" ht="17" x14ac:dyDescent="0.2">
      <c r="A81" s="286">
        <v>10</v>
      </c>
      <c r="B81" s="287" t="s">
        <v>463</v>
      </c>
      <c r="C81" s="287" t="s">
        <v>455</v>
      </c>
      <c r="D81" s="288" t="s">
        <v>482</v>
      </c>
      <c r="E81" s="293">
        <f ca="1">IF(D81="","",(VLOOKUP($D81,master_food_list,'Master Food List'!N$91,FALSE)))</f>
        <v>110</v>
      </c>
      <c r="F81" s="293">
        <f ca="1">IF(E81="","",(VLOOKUP($D81,master_food_list,'Master Food List'!O$91,FALSE)))</f>
        <v>21</v>
      </c>
      <c r="G81" s="293">
        <f ca="1">IF(F81="","",(VLOOKUP($D81,master_food_list,'Master Food List'!P$91,FALSE)))</f>
        <v>1</v>
      </c>
      <c r="H81" s="293">
        <f ca="1">IF(G81="","",(VLOOKUP($D81,master_food_list,'Master Food List'!Q$91,FALSE)))</f>
        <v>2</v>
      </c>
      <c r="I81" s="293">
        <f ca="1">IF(H81="","",(VLOOKUP($D81,master_food_list,'Master Food List'!R$91,FALSE)))</f>
        <v>150</v>
      </c>
      <c r="J81" s="293">
        <f ca="1">IF(I81="","",(VLOOKUP($D81,master_food_list,'Master Food List'!S$91,FALSE)))</f>
        <v>0</v>
      </c>
      <c r="K81" s="293">
        <f ca="1">IF(J81="","",(VLOOKUP($D81,master_food_list,'Master Food List'!T$91,FALSE)))</f>
        <v>118.27956989247312</v>
      </c>
    </row>
    <row r="82" spans="1:13" s="190" customFormat="1" ht="34" x14ac:dyDescent="0.2">
      <c r="A82" s="278">
        <v>11</v>
      </c>
      <c r="B82" s="279" t="s">
        <v>15</v>
      </c>
      <c r="C82" s="279" t="s">
        <v>462</v>
      </c>
      <c r="D82" s="280" t="s">
        <v>498</v>
      </c>
      <c r="E82" s="291">
        <f ca="1">IF(D82="","",(VLOOKUP($D82,master_food_list,'Master Food List'!N$91,FALSE)))</f>
        <v>1020</v>
      </c>
      <c r="F82" s="291">
        <f ca="1">IF(E82="","",(VLOOKUP($D82,master_food_list,'Master Food List'!O$91,FALSE)))</f>
        <v>96</v>
      </c>
      <c r="G82" s="291">
        <f ca="1">IF(F82="","",(VLOOKUP($D82,master_food_list,'Master Food List'!P$91,FALSE)))</f>
        <v>34</v>
      </c>
      <c r="H82" s="291">
        <f ca="1">IF(G82="","",(VLOOKUP($D82,master_food_list,'Master Food List'!Q$91,FALSE)))</f>
        <v>53</v>
      </c>
      <c r="I82" s="291">
        <f ca="1">IF(H82="","",(VLOOKUP($D82,master_food_list,'Master Food List'!R$91,FALSE)))</f>
        <v>2460</v>
      </c>
      <c r="J82" s="291">
        <f ca="1">IF(I82="","",(VLOOKUP($D82,master_food_list,'Master Food List'!S$91,FALSE)))</f>
        <v>0</v>
      </c>
      <c r="K82" s="291">
        <f ca="1">IF(J82="","",(VLOOKUP($D82,master_food_list,'Master Food List'!T$91,FALSE)))</f>
        <v>0</v>
      </c>
      <c r="M82"/>
    </row>
    <row r="83" spans="1:13" s="190" customFormat="1" ht="34" x14ac:dyDescent="0.2">
      <c r="A83" s="278">
        <v>11</v>
      </c>
      <c r="B83" s="279" t="s">
        <v>15</v>
      </c>
      <c r="C83" s="279" t="s">
        <v>461</v>
      </c>
      <c r="D83" s="280" t="s">
        <v>481</v>
      </c>
      <c r="E83" s="291">
        <f ca="1">IF(D83="","",(VLOOKUP($D83,master_food_list,'Master Food List'!N$91,FALSE)))</f>
        <v>400</v>
      </c>
      <c r="F83" s="291">
        <f ca="1">IF(E83="","",(VLOOKUP($D83,master_food_list,'Master Food List'!O$91,FALSE)))</f>
        <v>72</v>
      </c>
      <c r="G83" s="291">
        <f ca="1">IF(F83="","",(VLOOKUP($D83,master_food_list,'Master Food List'!P$91,FALSE)))</f>
        <v>6</v>
      </c>
      <c r="H83" s="291">
        <f ca="1">IF(G83="","",(VLOOKUP($D83,master_food_list,'Master Food List'!Q$91,FALSE)))</f>
        <v>10</v>
      </c>
      <c r="I83" s="291">
        <f ca="1">IF(H83="","",(VLOOKUP($D83,master_food_list,'Master Food List'!R$91,FALSE)))</f>
        <v>420</v>
      </c>
      <c r="J83" s="291">
        <f ca="1">IF(I83="","",(VLOOKUP($D83,master_food_list,'Master Food List'!S$91,FALSE)))</f>
        <v>0</v>
      </c>
      <c r="K83" s="291">
        <f ca="1">IF(J83="","",(VLOOKUP($D83,master_food_list,'Master Food List'!T$91,FALSE)))</f>
        <v>109.09090909090909</v>
      </c>
      <c r="M83"/>
    </row>
    <row r="84" spans="1:13" s="190" customFormat="1" ht="34" x14ac:dyDescent="0.2">
      <c r="A84" s="278">
        <v>11</v>
      </c>
      <c r="B84" s="279" t="s">
        <v>15</v>
      </c>
      <c r="C84" s="279" t="s">
        <v>460</v>
      </c>
      <c r="D84" s="280" t="s">
        <v>495</v>
      </c>
      <c r="E84" s="291">
        <f ca="1">IF(D84="","",(VLOOKUP($D84,master_food_list,'Master Food List'!N$91,FALSE)))</f>
        <v>122</v>
      </c>
      <c r="F84" s="291">
        <f ca="1">IF(E84="","",(VLOOKUP($D84,master_food_list,'Master Food List'!O$91,FALSE)))</f>
        <v>18</v>
      </c>
      <c r="G84" s="291">
        <f ca="1">IF(F84="","",(VLOOKUP($D84,master_food_list,'Master Food List'!P$91,FALSE)))</f>
        <v>9</v>
      </c>
      <c r="H84" s="291">
        <f ca="1">IF(G84="","",(VLOOKUP($D84,master_food_list,'Master Food List'!Q$91,FALSE)))</f>
        <v>7.5</v>
      </c>
      <c r="I84" s="291">
        <f ca="1">IF(H84="","",(VLOOKUP($D84,master_food_list,'Master Food List'!R$91,FALSE)))</f>
        <v>105</v>
      </c>
      <c r="J84" s="291">
        <f ca="1">IF(I84="","",(VLOOKUP($D84,master_food_list,'Master Food List'!S$91,FALSE)))</f>
        <v>0</v>
      </c>
      <c r="K84" s="291">
        <f ca="1">IF(J84="","",(VLOOKUP($D84,master_food_list,'Master Food List'!T$91,FALSE)))</f>
        <v>0</v>
      </c>
      <c r="M84"/>
    </row>
    <row r="85" spans="1:13" s="190" customFormat="1" ht="34" x14ac:dyDescent="0.2">
      <c r="A85" s="278">
        <v>11</v>
      </c>
      <c r="B85" s="279" t="s">
        <v>15</v>
      </c>
      <c r="C85" s="279" t="s">
        <v>459</v>
      </c>
      <c r="D85" s="280" t="s">
        <v>494</v>
      </c>
      <c r="E85" s="291">
        <f ca="1">IF(D85="","",(VLOOKUP($D85,master_food_list,'Master Food List'!N$91,FALSE)))</f>
        <v>270</v>
      </c>
      <c r="F85" s="291">
        <f ca="1">IF(E85="","",(VLOOKUP($D85,master_food_list,'Master Food List'!O$91,FALSE)))</f>
        <v>72</v>
      </c>
      <c r="G85" s="291">
        <f ca="1">IF(F85="","",(VLOOKUP($D85,master_food_list,'Master Food List'!P$91,FALSE)))</f>
        <v>3</v>
      </c>
      <c r="H85" s="291">
        <f ca="1">IF(G85="","",(VLOOKUP($D85,master_food_list,'Master Food List'!Q$91,FALSE)))</f>
        <v>0</v>
      </c>
      <c r="I85" s="291">
        <f ca="1">IF(H85="","",(VLOOKUP($D85,master_food_list,'Master Food List'!R$91,FALSE)))</f>
        <v>0</v>
      </c>
      <c r="J85" s="291">
        <f ca="1">IF(I85="","",(VLOOKUP($D85,master_food_list,'Master Food List'!S$91,FALSE)))</f>
        <v>0</v>
      </c>
      <c r="K85" s="291">
        <f ca="1">IF(J85="","",(VLOOKUP($D85,master_food_list,'Master Food List'!T$91,FALSE)))</f>
        <v>112.5</v>
      </c>
      <c r="M85"/>
    </row>
    <row r="86" spans="1:13" s="190" customFormat="1" ht="34" x14ac:dyDescent="0.2">
      <c r="A86" s="278">
        <v>11</v>
      </c>
      <c r="B86" s="279" t="s">
        <v>15</v>
      </c>
      <c r="C86" s="279" t="s">
        <v>458</v>
      </c>
      <c r="D86" s="280" t="s">
        <v>493</v>
      </c>
      <c r="E86" s="291">
        <f ca="1">IF(D86="","",(VLOOKUP($D86,master_food_list,'Master Food List'!N$91,FALSE)))</f>
        <v>1000</v>
      </c>
      <c r="F86" s="291">
        <f ca="1">IF(E86="","",(VLOOKUP($D86,master_food_list,'Master Food List'!O$91,FALSE)))</f>
        <v>112</v>
      </c>
      <c r="G86" s="291">
        <f ca="1">IF(F86="","",(VLOOKUP($D86,master_food_list,'Master Food List'!P$91,FALSE)))</f>
        <v>40</v>
      </c>
      <c r="H86" s="291">
        <f ca="1">IF(G86="","",(VLOOKUP($D86,master_food_list,'Master Food List'!Q$91,FALSE)))</f>
        <v>52</v>
      </c>
      <c r="I86" s="291">
        <f ca="1">IF(H86="","",(VLOOKUP($D86,master_food_list,'Master Food List'!R$91,FALSE)))</f>
        <v>460</v>
      </c>
      <c r="J86" s="291">
        <f ca="1">IF(I86="","",(VLOOKUP($D86,master_food_list,'Master Food List'!S$91,FALSE)))</f>
        <v>0</v>
      </c>
      <c r="K86" s="291">
        <f ca="1">IF(J86="","",(VLOOKUP($D86,master_food_list,'Master Food List'!T$91,FALSE)))</f>
        <v>123.4567901234568</v>
      </c>
      <c r="M86"/>
    </row>
    <row r="87" spans="1:13" s="190" customFormat="1" ht="34" x14ac:dyDescent="0.2">
      <c r="A87" s="278">
        <v>11</v>
      </c>
      <c r="B87" s="279" t="s">
        <v>15</v>
      </c>
      <c r="C87" s="279" t="s">
        <v>457</v>
      </c>
      <c r="D87" s="280"/>
      <c r="E87" s="291" t="str">
        <f>IF(D87="","",(VLOOKUP($D87,master_food_list,'Master Food List'!N$91,FALSE)))</f>
        <v/>
      </c>
      <c r="F87" s="291" t="str">
        <f>IF(E87="","",(VLOOKUP($D87,master_food_list,'Master Food List'!O$91,FALSE)))</f>
        <v/>
      </c>
      <c r="G87" s="291" t="str">
        <f>IF(F87="","",(VLOOKUP($D87,master_food_list,'Master Food List'!P$91,FALSE)))</f>
        <v/>
      </c>
      <c r="H87" s="291" t="str">
        <f>IF(G87="","",(VLOOKUP($D87,master_food_list,'Master Food List'!Q$91,FALSE)))</f>
        <v/>
      </c>
      <c r="I87" s="291" t="str">
        <f>IF(H87="","",(VLOOKUP($D87,master_food_list,'Master Food List'!R$91,FALSE)))</f>
        <v/>
      </c>
      <c r="J87" s="291" t="str">
        <f>IF(I87="","",(VLOOKUP($D87,master_food_list,'Master Food List'!S$91,FALSE)))</f>
        <v/>
      </c>
      <c r="K87" s="291" t="str">
        <f>IF(J87="","",(VLOOKUP($D87,master_food_list,'Master Food List'!T$91,FALSE)))</f>
        <v/>
      </c>
      <c r="M87"/>
    </row>
    <row r="88" spans="1:13" s="190" customFormat="1" ht="34" x14ac:dyDescent="0.2">
      <c r="A88" s="278">
        <v>11</v>
      </c>
      <c r="B88" s="279" t="s">
        <v>15</v>
      </c>
      <c r="C88" s="279" t="s">
        <v>455</v>
      </c>
      <c r="D88" s="280" t="s">
        <v>484</v>
      </c>
      <c r="E88" s="291">
        <f ca="1">IF(D88="","",(VLOOKUP($D88,master_food_list,'Master Food List'!N$91,FALSE)))</f>
        <v>540</v>
      </c>
      <c r="F88" s="291">
        <f ca="1">IF(E88="","",(VLOOKUP($D88,master_food_list,'Master Food List'!O$91,FALSE)))</f>
        <v>72</v>
      </c>
      <c r="G88" s="291">
        <f ca="1">IF(F88="","",(VLOOKUP($D88,master_food_list,'Master Food List'!P$91,FALSE)))</f>
        <v>14</v>
      </c>
      <c r="H88" s="291">
        <f ca="1">IF(G88="","",(VLOOKUP($D88,master_food_list,'Master Food List'!Q$91,FALSE)))</f>
        <v>22</v>
      </c>
      <c r="I88" s="291">
        <f ca="1">IF(H88="","",(VLOOKUP($D88,master_food_list,'Master Food List'!R$91,FALSE)))</f>
        <v>780</v>
      </c>
      <c r="J88" s="291">
        <f ca="1">IF(I88="","",(VLOOKUP($D88,master_food_list,'Master Food List'!S$91,FALSE)))</f>
        <v>0</v>
      </c>
      <c r="K88" s="291">
        <f ca="1">IF(J88="","",(VLOOKUP($D88,master_food_list,'Master Food List'!T$91,FALSE)))</f>
        <v>117.39130434782609</v>
      </c>
      <c r="M88"/>
    </row>
    <row r="89" spans="1:13" s="189" customFormat="1" ht="34" x14ac:dyDescent="0.2">
      <c r="A89" s="282">
        <v>12</v>
      </c>
      <c r="B89" s="283" t="s">
        <v>15</v>
      </c>
      <c r="C89" s="283" t="s">
        <v>462</v>
      </c>
      <c r="D89" s="284" t="s">
        <v>480</v>
      </c>
      <c r="E89" s="292">
        <f ca="1">IF(D89="","",(VLOOKUP($D89,master_food_list,'Master Food List'!N$91,FALSE)))</f>
        <v>620</v>
      </c>
      <c r="F89" s="292">
        <f ca="1">IF(E89="","",(VLOOKUP($D89,master_food_list,'Master Food List'!O$91,FALSE)))</f>
        <v>74</v>
      </c>
      <c r="G89" s="292">
        <f ca="1">IF(F89="","",(VLOOKUP($D89,master_food_list,'Master Food List'!P$91,FALSE)))</f>
        <v>16</v>
      </c>
      <c r="H89" s="292">
        <f ca="1">IF(G89="","",(VLOOKUP($D89,master_food_list,'Master Food List'!Q$91,FALSE)))</f>
        <v>31</v>
      </c>
      <c r="I89" s="292">
        <f ca="1">IF(H89="","",(VLOOKUP($D89,master_food_list,'Master Food List'!R$91,FALSE)))</f>
        <v>280</v>
      </c>
      <c r="J89" s="292">
        <f ca="1">IF(I89="","",(VLOOKUP($D89,master_food_list,'Master Food List'!S$91,FALSE)))</f>
        <v>0</v>
      </c>
      <c r="K89" s="292">
        <f ca="1">IF(J89="","",(VLOOKUP($D89,master_food_list,'Master Food List'!T$91,FALSE)))</f>
        <v>130.52631578947367</v>
      </c>
      <c r="M89"/>
    </row>
    <row r="90" spans="1:13" s="189" customFormat="1" ht="34" x14ac:dyDescent="0.2">
      <c r="A90" s="282">
        <v>12</v>
      </c>
      <c r="B90" s="283" t="s">
        <v>15</v>
      </c>
      <c r="C90" s="283" t="s">
        <v>461</v>
      </c>
      <c r="D90" s="284" t="s">
        <v>347</v>
      </c>
      <c r="E90" s="292">
        <f ca="1">IF(D90="","",(VLOOKUP($D90,master_food_list,'Master Food List'!N$91,FALSE)))</f>
        <v>665</v>
      </c>
      <c r="F90" s="292">
        <f ca="1">IF(E90="","",(VLOOKUP($D90,master_food_list,'Master Food List'!O$91,FALSE)))</f>
        <v>0</v>
      </c>
      <c r="G90" s="292">
        <f ca="1">IF(F90="","",(VLOOKUP($D90,master_food_list,'Master Food List'!P$91,FALSE)))</f>
        <v>35</v>
      </c>
      <c r="H90" s="292">
        <f ca="1">IF(G90="","",(VLOOKUP($D90,master_food_list,'Master Food List'!Q$91,FALSE)))</f>
        <v>56</v>
      </c>
      <c r="I90" s="292">
        <f ca="1">IF(H90="","",(VLOOKUP($D90,master_food_list,'Master Food List'!R$91,FALSE)))</f>
        <v>2415</v>
      </c>
      <c r="J90" s="292">
        <f ca="1">IF(I90="","",(VLOOKUP($D90,master_food_list,'Master Food List'!S$91,FALSE)))</f>
        <v>0</v>
      </c>
      <c r="K90" s="292">
        <f ca="1">IF(J90="","",(VLOOKUP($D90,master_food_list,'Master Food List'!T$91,FALSE)))</f>
        <v>180.70652173913044</v>
      </c>
      <c r="M90"/>
    </row>
    <row r="91" spans="1:13" s="189" customFormat="1" ht="34" x14ac:dyDescent="0.2">
      <c r="A91" s="282">
        <v>12</v>
      </c>
      <c r="B91" s="283" t="s">
        <v>15</v>
      </c>
      <c r="C91" s="283" t="s">
        <v>460</v>
      </c>
      <c r="D91" s="284" t="s">
        <v>495</v>
      </c>
      <c r="E91" s="292">
        <f ca="1">IF(D91="","",(VLOOKUP($D91,master_food_list,'Master Food List'!N$91,FALSE)))</f>
        <v>122</v>
      </c>
      <c r="F91" s="292">
        <f ca="1">IF(E91="","",(VLOOKUP($D91,master_food_list,'Master Food List'!O$91,FALSE)))</f>
        <v>18</v>
      </c>
      <c r="G91" s="292">
        <f ca="1">IF(F91="","",(VLOOKUP($D91,master_food_list,'Master Food List'!P$91,FALSE)))</f>
        <v>9</v>
      </c>
      <c r="H91" s="292">
        <f ca="1">IF(G91="","",(VLOOKUP($D91,master_food_list,'Master Food List'!Q$91,FALSE)))</f>
        <v>7.5</v>
      </c>
      <c r="I91" s="292">
        <f ca="1">IF(H91="","",(VLOOKUP($D91,master_food_list,'Master Food List'!R$91,FALSE)))</f>
        <v>105</v>
      </c>
      <c r="J91" s="292">
        <f ca="1">IF(I91="","",(VLOOKUP($D91,master_food_list,'Master Food List'!S$91,FALSE)))</f>
        <v>0</v>
      </c>
      <c r="K91" s="292">
        <f ca="1">IF(J91="","",(VLOOKUP($D91,master_food_list,'Master Food List'!T$91,FALSE)))</f>
        <v>0</v>
      </c>
      <c r="M91"/>
    </row>
    <row r="92" spans="1:13" s="189" customFormat="1" ht="51" x14ac:dyDescent="0.2">
      <c r="A92" s="282">
        <v>12</v>
      </c>
      <c r="B92" s="283" t="s">
        <v>15</v>
      </c>
      <c r="C92" s="283" t="s">
        <v>459</v>
      </c>
      <c r="D92" s="284" t="s">
        <v>430</v>
      </c>
      <c r="E92" s="292">
        <f ca="1">IF(D92="","",(VLOOKUP($D92,master_food_list,'Master Food List'!N$91,FALSE)))</f>
        <v>510</v>
      </c>
      <c r="F92" s="292">
        <f ca="1">IF(E92="","",(VLOOKUP($D92,master_food_list,'Master Food List'!O$91,FALSE)))</f>
        <v>42</v>
      </c>
      <c r="G92" s="292">
        <f ca="1">IF(F92="","",(VLOOKUP($D92,master_food_list,'Master Food List'!P$91,FALSE)))</f>
        <v>10.5</v>
      </c>
      <c r="H92" s="292">
        <f ca="1">IF(G92="","",(VLOOKUP($D92,master_food_list,'Master Food List'!Q$91,FALSE)))</f>
        <v>33</v>
      </c>
      <c r="I92" s="292">
        <f ca="1">IF(H92="","",(VLOOKUP($D92,master_food_list,'Master Food List'!R$91,FALSE)))</f>
        <v>75</v>
      </c>
      <c r="J92" s="292">
        <f ca="1">IF(I92="","",(VLOOKUP($D92,master_food_list,'Master Food List'!S$91,FALSE)))</f>
        <v>0</v>
      </c>
      <c r="K92" s="292">
        <f ca="1">IF(J92="","",(VLOOKUP($D92,master_food_list,'Master Food List'!T$91,FALSE)))</f>
        <v>170</v>
      </c>
      <c r="M92"/>
    </row>
    <row r="93" spans="1:13" s="189" customFormat="1" ht="34" x14ac:dyDescent="0.2">
      <c r="A93" s="282">
        <v>12</v>
      </c>
      <c r="B93" s="283" t="s">
        <v>15</v>
      </c>
      <c r="C93" s="283" t="s">
        <v>458</v>
      </c>
      <c r="D93" s="284" t="s">
        <v>486</v>
      </c>
      <c r="E93" s="292">
        <f ca="1">IF(D93="","",(VLOOKUP($D93,master_food_list,'Master Food List'!N$91,FALSE)))</f>
        <v>960</v>
      </c>
      <c r="F93" s="292">
        <f ca="1">IF(E93="","",(VLOOKUP($D93,master_food_list,'Master Food List'!O$91,FALSE)))</f>
        <v>178</v>
      </c>
      <c r="G93" s="292">
        <f ca="1">IF(F93="","",(VLOOKUP($D93,master_food_list,'Master Food List'!P$91,FALSE)))</f>
        <v>34</v>
      </c>
      <c r="H93" s="292">
        <f ca="1">IF(G93="","",(VLOOKUP($D93,master_food_list,'Master Food List'!Q$91,FALSE)))</f>
        <v>12</v>
      </c>
      <c r="I93" s="292">
        <f ca="1">IF(H93="","",(VLOOKUP($D93,master_food_list,'Master Food List'!R$91,FALSE)))</f>
        <v>1620</v>
      </c>
      <c r="J93" s="292">
        <f ca="1">IF(I93="","",(VLOOKUP($D93,master_food_list,'Master Food List'!S$91,FALSE)))</f>
        <v>0</v>
      </c>
      <c r="K93" s="292">
        <f ca="1">IF(J93="","",(VLOOKUP($D93,master_food_list,'Master Food List'!T$91,FALSE)))</f>
        <v>109.09090909090908</v>
      </c>
      <c r="M93"/>
    </row>
    <row r="94" spans="1:13" s="189" customFormat="1" ht="34" x14ac:dyDescent="0.2">
      <c r="A94" s="282">
        <v>12</v>
      </c>
      <c r="B94" s="283" t="s">
        <v>15</v>
      </c>
      <c r="C94" s="283" t="s">
        <v>457</v>
      </c>
      <c r="D94" s="284" t="s">
        <v>479</v>
      </c>
      <c r="E94" s="292">
        <f ca="1">IF(D94="","",(VLOOKUP($D94,master_food_list,'Master Food List'!N$91,FALSE)))</f>
        <v>300</v>
      </c>
      <c r="F94" s="292">
        <f ca="1">IF(E94="","",(VLOOKUP($D94,master_food_list,'Master Food List'!O$91,FALSE)))</f>
        <v>10.5</v>
      </c>
      <c r="G94" s="292">
        <f ca="1">IF(F94="","",(VLOOKUP($D94,master_food_list,'Master Food List'!P$91,FALSE)))</f>
        <v>10.5</v>
      </c>
      <c r="H94" s="292">
        <f ca="1">IF(G94="","",(VLOOKUP($D94,master_food_list,'Master Food List'!Q$91,FALSE)))</f>
        <v>25.5</v>
      </c>
      <c r="I94" s="292">
        <f ca="1">IF(H94="","",(VLOOKUP($D94,master_food_list,'Master Food List'!R$91,FALSE)))</f>
        <v>150</v>
      </c>
      <c r="J94" s="292">
        <f ca="1">IF(I94="","",(VLOOKUP($D94,master_food_list,'Master Food List'!S$91,FALSE)))</f>
        <v>0</v>
      </c>
      <c r="K94" s="292">
        <f ca="1">IF(J94="","",(VLOOKUP($D94,master_food_list,'Master Food List'!T$91,FALSE)))</f>
        <v>177.77777777777777</v>
      </c>
      <c r="M94"/>
    </row>
    <row r="95" spans="1:13" s="189" customFormat="1" ht="34" x14ac:dyDescent="0.2">
      <c r="A95" s="282">
        <v>12</v>
      </c>
      <c r="B95" s="283" t="s">
        <v>15</v>
      </c>
      <c r="C95" s="283" t="s">
        <v>455</v>
      </c>
      <c r="D95" s="284" t="s">
        <v>482</v>
      </c>
      <c r="E95" s="292">
        <f ca="1">IF(D95="","",(VLOOKUP($D95,master_food_list,'Master Food List'!N$91,FALSE)))</f>
        <v>110</v>
      </c>
      <c r="F95" s="292">
        <f ca="1">IF(E95="","",(VLOOKUP($D95,master_food_list,'Master Food List'!O$91,FALSE)))</f>
        <v>21</v>
      </c>
      <c r="G95" s="292">
        <f ca="1">IF(F95="","",(VLOOKUP($D95,master_food_list,'Master Food List'!P$91,FALSE)))</f>
        <v>1</v>
      </c>
      <c r="H95" s="292">
        <f ca="1">IF(G95="","",(VLOOKUP($D95,master_food_list,'Master Food List'!Q$91,FALSE)))</f>
        <v>2</v>
      </c>
      <c r="I95" s="292">
        <f ca="1">IF(H95="","",(VLOOKUP($D95,master_food_list,'Master Food List'!R$91,FALSE)))</f>
        <v>150</v>
      </c>
      <c r="J95" s="292">
        <f ca="1">IF(I95="","",(VLOOKUP($D95,master_food_list,'Master Food List'!S$91,FALSE)))</f>
        <v>0</v>
      </c>
      <c r="K95" s="292">
        <f ca="1">IF(J95="","",(VLOOKUP($D95,master_food_list,'Master Food List'!T$91,FALSE)))</f>
        <v>118.27956989247312</v>
      </c>
      <c r="M95"/>
    </row>
    <row r="96" spans="1:13" customFormat="1" ht="34" x14ac:dyDescent="0.2">
      <c r="A96" s="286">
        <v>13</v>
      </c>
      <c r="B96" s="287" t="s">
        <v>15</v>
      </c>
      <c r="C96" s="287" t="s">
        <v>462</v>
      </c>
      <c r="D96" s="288" t="s">
        <v>485</v>
      </c>
      <c r="E96" s="293">
        <f ca="1">IF(D96="","",(VLOOKUP($D96,master_food_list,'Master Food List'!N$91,FALSE)))</f>
        <v>500</v>
      </c>
      <c r="F96" s="293">
        <f ca="1">IF(E96="","",(VLOOKUP($D96,master_food_list,'Master Food List'!O$91,FALSE)))</f>
        <v>74</v>
      </c>
      <c r="G96" s="293">
        <f ca="1">IF(F96="","",(VLOOKUP($D96,master_food_list,'Master Food List'!P$91,FALSE)))</f>
        <v>16</v>
      </c>
      <c r="H96" s="293">
        <f ca="1">IF(G96="","",(VLOOKUP($D96,master_food_list,'Master Food List'!Q$91,FALSE)))</f>
        <v>18</v>
      </c>
      <c r="I96" s="293">
        <f ca="1">IF(H96="","",(VLOOKUP($D96,master_food_list,'Master Food List'!R$91,FALSE)))</f>
        <v>130</v>
      </c>
      <c r="J96" s="293">
        <f ca="1">IF(I96="","",(VLOOKUP($D96,master_food_list,'Master Food List'!S$91,FALSE)))</f>
        <v>0</v>
      </c>
      <c r="K96" s="293">
        <f ca="1">IF(J96="","",(VLOOKUP($D96,master_food_list,'Master Food List'!T$91,FALSE)))</f>
        <v>126.55024044545685</v>
      </c>
    </row>
    <row r="97" spans="1:11" customFormat="1" ht="34" x14ac:dyDescent="0.2">
      <c r="A97" s="286">
        <v>13</v>
      </c>
      <c r="B97" s="287" t="s">
        <v>15</v>
      </c>
      <c r="C97" s="287" t="s">
        <v>461</v>
      </c>
      <c r="D97" s="288" t="s">
        <v>354</v>
      </c>
      <c r="E97" s="293">
        <f ca="1">IF(D97="","",(VLOOKUP($D97,master_food_list,'Master Food List'!N$91,FALSE)))</f>
        <v>270</v>
      </c>
      <c r="F97" s="293">
        <f ca="1">IF(E97="","",(VLOOKUP($D97,master_food_list,'Master Food List'!O$91,FALSE)))</f>
        <v>72</v>
      </c>
      <c r="G97" s="293">
        <f ca="1">IF(F97="","",(VLOOKUP($D97,master_food_list,'Master Food List'!P$91,FALSE)))</f>
        <v>3</v>
      </c>
      <c r="H97" s="293">
        <f ca="1">IF(G97="","",(VLOOKUP($D97,master_food_list,'Master Food List'!Q$91,FALSE)))</f>
        <v>0</v>
      </c>
      <c r="I97" s="293">
        <f ca="1">IF(H97="","",(VLOOKUP($D97,master_food_list,'Master Food List'!R$91,FALSE)))</f>
        <v>0</v>
      </c>
      <c r="J97" s="293">
        <f ca="1">IF(I97="","",(VLOOKUP($D97,master_food_list,'Master Food List'!S$91,FALSE)))</f>
        <v>0</v>
      </c>
      <c r="K97" s="293">
        <f ca="1">IF(J97="","",(VLOOKUP($D97,master_food_list,'Master Food List'!T$91,FALSE)))</f>
        <v>112.5</v>
      </c>
    </row>
    <row r="98" spans="1:11" customFormat="1" ht="34" x14ac:dyDescent="0.2">
      <c r="A98" s="286">
        <v>13</v>
      </c>
      <c r="B98" s="287" t="s">
        <v>15</v>
      </c>
      <c r="C98" s="287" t="s">
        <v>460</v>
      </c>
      <c r="D98" s="288"/>
      <c r="E98" s="293" t="str">
        <f>IF(D98="","",(VLOOKUP($D98,master_food_list,'Master Food List'!N$91,FALSE)))</f>
        <v/>
      </c>
      <c r="F98" s="293" t="str">
        <f>IF(E98="","",(VLOOKUP($D98,master_food_list,'Master Food List'!O$91,FALSE)))</f>
        <v/>
      </c>
      <c r="G98" s="293" t="str">
        <f>IF(F98="","",(VLOOKUP($D98,master_food_list,'Master Food List'!P$91,FALSE)))</f>
        <v/>
      </c>
      <c r="H98" s="293" t="str">
        <f>IF(G98="","",(VLOOKUP($D98,master_food_list,'Master Food List'!Q$91,FALSE)))</f>
        <v/>
      </c>
      <c r="I98" s="293" t="str">
        <f>IF(H98="","",(VLOOKUP($D98,master_food_list,'Master Food List'!R$91,FALSE)))</f>
        <v/>
      </c>
      <c r="J98" s="293" t="str">
        <f>IF(I98="","",(VLOOKUP($D98,master_food_list,'Master Food List'!S$91,FALSE)))</f>
        <v/>
      </c>
      <c r="K98" s="293" t="str">
        <f>IF(J98="","",(VLOOKUP($D98,master_food_list,'Master Food List'!T$91,FALSE)))</f>
        <v/>
      </c>
    </row>
    <row r="99" spans="1:11" customFormat="1" ht="34" x14ac:dyDescent="0.2">
      <c r="A99" s="286">
        <v>13</v>
      </c>
      <c r="B99" s="287" t="s">
        <v>15</v>
      </c>
      <c r="C99" s="287" t="s">
        <v>459</v>
      </c>
      <c r="D99" s="288" t="s">
        <v>427</v>
      </c>
      <c r="E99" s="293">
        <f ca="1">IF(D99="","",(VLOOKUP($D99,master_food_list,'Master Food List'!N$91,FALSE)))</f>
        <v>300</v>
      </c>
      <c r="F99" s="293">
        <f ca="1">IF(E99="","",(VLOOKUP($D99,master_food_list,'Master Food List'!O$91,FALSE)))</f>
        <v>24</v>
      </c>
      <c r="G99" s="293">
        <f ca="1">IF(F99="","",(VLOOKUP($D99,master_food_list,'Master Food List'!P$91,FALSE)))</f>
        <v>8</v>
      </c>
      <c r="H99" s="293">
        <f ca="1">IF(G99="","",(VLOOKUP($D99,master_food_list,'Master Food List'!Q$91,FALSE)))</f>
        <v>20</v>
      </c>
      <c r="I99" s="293">
        <f ca="1">IF(H99="","",(VLOOKUP($D99,master_food_list,'Master Food List'!R$91,FALSE)))</f>
        <v>120</v>
      </c>
      <c r="J99" s="293">
        <f ca="1">IF(I99="","",(VLOOKUP($D99,master_food_list,'Master Food List'!S$91,FALSE)))</f>
        <v>0</v>
      </c>
      <c r="K99" s="293">
        <f ca="1">IF(J99="","",(VLOOKUP($D99,master_food_list,'Master Food List'!T$91,FALSE)))</f>
        <v>150</v>
      </c>
    </row>
    <row r="100" spans="1:11" customFormat="1" ht="34" x14ac:dyDescent="0.2">
      <c r="A100" s="286">
        <v>13</v>
      </c>
      <c r="B100" s="287" t="s">
        <v>15</v>
      </c>
      <c r="C100" s="287" t="s">
        <v>458</v>
      </c>
      <c r="D100" s="288" t="s">
        <v>336</v>
      </c>
      <c r="E100" s="293">
        <f ca="1">IF(D100="","",(VLOOKUP($D100,master_food_list,'Master Food List'!N$91,FALSE)))</f>
        <v>575</v>
      </c>
      <c r="F100" s="293">
        <f ca="1">IF(E100="","",(VLOOKUP($D100,master_food_list,'Master Food List'!O$91,FALSE)))</f>
        <v>77.5</v>
      </c>
      <c r="G100" s="293">
        <f ca="1">IF(F100="","",(VLOOKUP($D100,master_food_list,'Master Food List'!P$91,FALSE)))</f>
        <v>30</v>
      </c>
      <c r="H100" s="293">
        <f ca="1">IF(G100="","",(VLOOKUP($D100,master_food_list,'Master Food List'!Q$91,FALSE)))</f>
        <v>15</v>
      </c>
      <c r="I100" s="293">
        <f ca="1">IF(H100="","",(VLOOKUP($D100,master_food_list,'Master Food List'!R$91,FALSE)))</f>
        <v>1950</v>
      </c>
      <c r="J100" s="293">
        <f ca="1">IF(I100="","",(VLOOKUP($D100,master_food_list,'Master Food List'!S$91,FALSE)))</f>
        <v>0</v>
      </c>
      <c r="K100" s="293">
        <f ca="1">IF(J100="","",(VLOOKUP($D100,master_food_list,'Master Food List'!T$91,FALSE)))</f>
        <v>117.2870984191739</v>
      </c>
    </row>
    <row r="101" spans="1:11" customFormat="1" ht="34" x14ac:dyDescent="0.2">
      <c r="A101" s="286">
        <v>13</v>
      </c>
      <c r="B101" s="287" t="s">
        <v>15</v>
      </c>
      <c r="C101" s="287" t="s">
        <v>457</v>
      </c>
      <c r="D101" s="288" t="s">
        <v>479</v>
      </c>
      <c r="E101" s="293">
        <f ca="1">IF(D101="","",(VLOOKUP($D101,master_food_list,'Master Food List'!N$91,FALSE)))</f>
        <v>300</v>
      </c>
      <c r="F101" s="293">
        <f ca="1">IF(E101="","",(VLOOKUP($D101,master_food_list,'Master Food List'!O$91,FALSE)))</f>
        <v>10.5</v>
      </c>
      <c r="G101" s="293">
        <f ca="1">IF(F101="","",(VLOOKUP($D101,master_food_list,'Master Food List'!P$91,FALSE)))</f>
        <v>10.5</v>
      </c>
      <c r="H101" s="293">
        <f ca="1">IF(G101="","",(VLOOKUP($D101,master_food_list,'Master Food List'!Q$91,FALSE)))</f>
        <v>25.5</v>
      </c>
      <c r="I101" s="293">
        <f ca="1">IF(H101="","",(VLOOKUP($D101,master_food_list,'Master Food List'!R$91,FALSE)))</f>
        <v>150</v>
      </c>
      <c r="J101" s="293">
        <f ca="1">IF(I101="","",(VLOOKUP($D101,master_food_list,'Master Food List'!S$91,FALSE)))</f>
        <v>0</v>
      </c>
      <c r="K101" s="293">
        <f ca="1">IF(J101="","",(VLOOKUP($D101,master_food_list,'Master Food List'!T$91,FALSE)))</f>
        <v>177.77777777777777</v>
      </c>
    </row>
    <row r="102" spans="1:11" customFormat="1" ht="34" x14ac:dyDescent="0.2">
      <c r="A102" s="286">
        <v>13</v>
      </c>
      <c r="B102" s="287" t="s">
        <v>15</v>
      </c>
      <c r="C102" s="287" t="s">
        <v>455</v>
      </c>
      <c r="D102" s="288" t="s">
        <v>478</v>
      </c>
      <c r="E102" s="293">
        <f ca="1">IF(D102="","",(VLOOKUP($D102,master_food_list,'Master Food List'!N$91,FALSE)))</f>
        <v>540</v>
      </c>
      <c r="F102" s="293">
        <f ca="1">IF(E102="","",(VLOOKUP($D102,master_food_list,'Master Food List'!O$91,FALSE)))</f>
        <v>105</v>
      </c>
      <c r="G102" s="293">
        <f ca="1">IF(F102="","",(VLOOKUP($D102,master_food_list,'Master Food List'!P$91,FALSE)))</f>
        <v>6</v>
      </c>
      <c r="H102" s="293">
        <f ca="1">IF(G102="","",(VLOOKUP($D102,master_food_list,'Master Food List'!Q$91,FALSE)))</f>
        <v>12</v>
      </c>
      <c r="I102" s="293">
        <f ca="1">IF(H102="","",(VLOOKUP($D102,master_food_list,'Master Food List'!R$91,FALSE)))</f>
        <v>240</v>
      </c>
      <c r="J102" s="293">
        <f ca="1">IF(I102="","",(VLOOKUP($D102,master_food_list,'Master Food List'!S$91,FALSE)))</f>
        <v>0</v>
      </c>
      <c r="K102" s="293">
        <f ca="1">IF(J102="","",(VLOOKUP($D102,master_food_list,'Master Food List'!T$91,FALSE)))</f>
        <v>117.64705882352942</v>
      </c>
    </row>
    <row r="103" spans="1:11" customFormat="1" ht="34" x14ac:dyDescent="0.2">
      <c r="A103" s="286">
        <v>14</v>
      </c>
      <c r="B103" s="287" t="s">
        <v>15</v>
      </c>
      <c r="C103" s="287" t="s">
        <v>462</v>
      </c>
      <c r="D103" s="288" t="s">
        <v>485</v>
      </c>
      <c r="E103" s="293">
        <f ca="1">IF(D103="","",(VLOOKUP($D103,master_food_list,'Master Food List'!N$91,FALSE)))</f>
        <v>500</v>
      </c>
      <c r="F103" s="293">
        <f ca="1">IF(E103="","",(VLOOKUP($D103,master_food_list,'Master Food List'!O$91,FALSE)))</f>
        <v>74</v>
      </c>
      <c r="G103" s="293">
        <f ca="1">IF(F103="","",(VLOOKUP($D103,master_food_list,'Master Food List'!P$91,FALSE)))</f>
        <v>16</v>
      </c>
      <c r="H103" s="293">
        <f ca="1">IF(G103="","",(VLOOKUP($D103,master_food_list,'Master Food List'!Q$91,FALSE)))</f>
        <v>18</v>
      </c>
      <c r="I103" s="293">
        <f ca="1">IF(H103="","",(VLOOKUP($D103,master_food_list,'Master Food List'!R$91,FALSE)))</f>
        <v>130</v>
      </c>
      <c r="J103" s="293">
        <f ca="1">IF(I103="","",(VLOOKUP($D103,master_food_list,'Master Food List'!S$91,FALSE)))</f>
        <v>0</v>
      </c>
      <c r="K103" s="293">
        <f ca="1">IF(J103="","",(VLOOKUP($D103,master_food_list,'Master Food List'!T$91,FALSE)))</f>
        <v>126.55024044545685</v>
      </c>
    </row>
    <row r="104" spans="1:11" customFormat="1" ht="51" x14ac:dyDescent="0.2">
      <c r="A104" s="286">
        <v>14</v>
      </c>
      <c r="B104" s="287" t="s">
        <v>15</v>
      </c>
      <c r="C104" s="287" t="s">
        <v>461</v>
      </c>
      <c r="D104" s="288" t="s">
        <v>433</v>
      </c>
      <c r="E104" s="293">
        <f ca="1">IF(D104="","",(VLOOKUP($D104,master_food_list,'Master Food List'!N$91,FALSE)))</f>
        <v>280</v>
      </c>
      <c r="F104" s="293">
        <f ca="1">IF(E104="","",(VLOOKUP($D104,master_food_list,'Master Food List'!O$91,FALSE)))</f>
        <v>34</v>
      </c>
      <c r="G104" s="293">
        <f ca="1">IF(F104="","",(VLOOKUP($D104,master_food_list,'Master Food List'!P$91,FALSE)))</f>
        <v>2</v>
      </c>
      <c r="H104" s="293">
        <f ca="1">IF(G104="","",(VLOOKUP($D104,master_food_list,'Master Food List'!Q$91,FALSE)))</f>
        <v>17</v>
      </c>
      <c r="I104" s="293">
        <f ca="1">IF(H104="","",(VLOOKUP($D104,master_food_list,'Master Food List'!R$91,FALSE)))</f>
        <v>0</v>
      </c>
      <c r="J104" s="293">
        <f ca="1">IF(I104="","",(VLOOKUP($D104,master_food_list,'Master Food List'!S$91,FALSE)))</f>
        <v>0</v>
      </c>
      <c r="K104" s="293">
        <f ca="1">IF(J104="","",(VLOOKUP($D104,master_food_list,'Master Food List'!T$91,FALSE)))</f>
        <v>140</v>
      </c>
    </row>
    <row r="105" spans="1:11" customFormat="1" ht="51" x14ac:dyDescent="0.2">
      <c r="A105" s="286">
        <v>14</v>
      </c>
      <c r="B105" s="287" t="s">
        <v>15</v>
      </c>
      <c r="C105" s="287" t="s">
        <v>460</v>
      </c>
      <c r="D105" s="288" t="s">
        <v>430</v>
      </c>
      <c r="E105" s="293">
        <f ca="1">IF(D105="","",(VLOOKUP($D105,master_food_list,'Master Food List'!N$91,FALSE)))</f>
        <v>510</v>
      </c>
      <c r="F105" s="293">
        <f ca="1">IF(E105="","",(VLOOKUP($D105,master_food_list,'Master Food List'!O$91,FALSE)))</f>
        <v>42</v>
      </c>
      <c r="G105" s="293">
        <f ca="1">IF(F105="","",(VLOOKUP($D105,master_food_list,'Master Food List'!P$91,FALSE)))</f>
        <v>10.5</v>
      </c>
      <c r="H105" s="293">
        <f ca="1">IF(G105="","",(VLOOKUP($D105,master_food_list,'Master Food List'!Q$91,FALSE)))</f>
        <v>33</v>
      </c>
      <c r="I105" s="293">
        <f ca="1">IF(H105="","",(VLOOKUP($D105,master_food_list,'Master Food List'!R$91,FALSE)))</f>
        <v>75</v>
      </c>
      <c r="J105" s="293">
        <f ca="1">IF(I105="","",(VLOOKUP($D105,master_food_list,'Master Food List'!S$91,FALSE)))</f>
        <v>0</v>
      </c>
      <c r="K105" s="293">
        <f ca="1">IF(J105="","",(VLOOKUP($D105,master_food_list,'Master Food List'!T$91,FALSE)))</f>
        <v>170</v>
      </c>
    </row>
    <row r="106" spans="1:11" customFormat="1" ht="34" x14ac:dyDescent="0.2">
      <c r="A106" s="286">
        <v>14</v>
      </c>
      <c r="B106" s="287" t="s">
        <v>15</v>
      </c>
      <c r="C106" s="287" t="s">
        <v>459</v>
      </c>
      <c r="D106" s="288" t="s">
        <v>427</v>
      </c>
      <c r="E106" s="293">
        <f ca="1">IF(D106="","",(VLOOKUP($D106,master_food_list,'Master Food List'!N$91,FALSE)))</f>
        <v>300</v>
      </c>
      <c r="F106" s="293">
        <f ca="1">IF(E106="","",(VLOOKUP($D106,master_food_list,'Master Food List'!O$91,FALSE)))</f>
        <v>24</v>
      </c>
      <c r="G106" s="293">
        <f ca="1">IF(F106="","",(VLOOKUP($D106,master_food_list,'Master Food List'!P$91,FALSE)))</f>
        <v>8</v>
      </c>
      <c r="H106" s="293">
        <f ca="1">IF(G106="","",(VLOOKUP($D106,master_food_list,'Master Food List'!Q$91,FALSE)))</f>
        <v>20</v>
      </c>
      <c r="I106" s="293">
        <f ca="1">IF(H106="","",(VLOOKUP($D106,master_food_list,'Master Food List'!R$91,FALSE)))</f>
        <v>120</v>
      </c>
      <c r="J106" s="293">
        <f ca="1">IF(I106="","",(VLOOKUP($D106,master_food_list,'Master Food List'!S$91,FALSE)))</f>
        <v>0</v>
      </c>
      <c r="K106" s="293">
        <f ca="1">IF(J106="","",(VLOOKUP($D106,master_food_list,'Master Food List'!T$91,FALSE)))</f>
        <v>150</v>
      </c>
    </row>
    <row r="107" spans="1:11" customFormat="1" ht="34" x14ac:dyDescent="0.2">
      <c r="A107" s="286">
        <v>14</v>
      </c>
      <c r="B107" s="287" t="s">
        <v>15</v>
      </c>
      <c r="C107" s="287" t="s">
        <v>458</v>
      </c>
      <c r="D107" s="288" t="s">
        <v>442</v>
      </c>
      <c r="E107" s="293">
        <f ca="1">IF(D107="","",(VLOOKUP($D107,master_food_list,'Master Food List'!N$91,FALSE)))</f>
        <v>600</v>
      </c>
      <c r="F107" s="293">
        <f ca="1">IF(E107="","",(VLOOKUP($D107,master_food_list,'Master Food List'!O$91,FALSE)))</f>
        <v>160</v>
      </c>
      <c r="G107" s="293">
        <f ca="1">IF(F107="","",(VLOOKUP($D107,master_food_list,'Master Food List'!P$91,FALSE)))</f>
        <v>22</v>
      </c>
      <c r="H107" s="293">
        <f ca="1">IF(G107="","",(VLOOKUP($D107,master_food_list,'Master Food List'!Q$91,FALSE)))</f>
        <v>3</v>
      </c>
      <c r="I107" s="293">
        <f ca="1">IF(H107="","",(VLOOKUP($D107,master_food_list,'Master Food List'!R$91,FALSE)))</f>
        <v>960</v>
      </c>
      <c r="J107" s="293">
        <f ca="1">IF(I107="","",(VLOOKUP($D107,master_food_list,'Master Food List'!S$91,FALSE)))</f>
        <v>0</v>
      </c>
      <c r="K107" s="293">
        <f ca="1">IF(J107="","",(VLOOKUP($D107,master_food_list,'Master Food List'!T$91,FALSE)))</f>
        <v>104.34782608695652</v>
      </c>
    </row>
    <row r="108" spans="1:11" customFormat="1" ht="34" x14ac:dyDescent="0.2">
      <c r="A108" s="286">
        <v>14</v>
      </c>
      <c r="B108" s="287" t="s">
        <v>15</v>
      </c>
      <c r="C108" s="287" t="s">
        <v>457</v>
      </c>
      <c r="D108" s="288" t="s">
        <v>479</v>
      </c>
      <c r="E108" s="293">
        <f ca="1">IF(D108="","",(VLOOKUP($D108,master_food_list,'Master Food List'!N$91,FALSE)))</f>
        <v>300</v>
      </c>
      <c r="F108" s="293">
        <f ca="1">IF(E108="","",(VLOOKUP($D108,master_food_list,'Master Food List'!O$91,FALSE)))</f>
        <v>10.5</v>
      </c>
      <c r="G108" s="293">
        <f ca="1">IF(F108="","",(VLOOKUP($D108,master_food_list,'Master Food List'!P$91,FALSE)))</f>
        <v>10.5</v>
      </c>
      <c r="H108" s="293">
        <f ca="1">IF(G108="","",(VLOOKUP($D108,master_food_list,'Master Food List'!Q$91,FALSE)))</f>
        <v>25.5</v>
      </c>
      <c r="I108" s="293">
        <f ca="1">IF(H108="","",(VLOOKUP($D108,master_food_list,'Master Food List'!R$91,FALSE)))</f>
        <v>150</v>
      </c>
      <c r="J108" s="293">
        <f ca="1">IF(I108="","",(VLOOKUP($D108,master_food_list,'Master Food List'!S$91,FALSE)))</f>
        <v>0</v>
      </c>
      <c r="K108" s="293">
        <f ca="1">IF(J108="","",(VLOOKUP($D108,master_food_list,'Master Food List'!T$91,FALSE)))</f>
        <v>177.77777777777777</v>
      </c>
    </row>
    <row r="109" spans="1:11" customFormat="1" ht="34" x14ac:dyDescent="0.2">
      <c r="A109" s="286">
        <v>14</v>
      </c>
      <c r="B109" s="287" t="s">
        <v>15</v>
      </c>
      <c r="C109" s="287" t="s">
        <v>455</v>
      </c>
      <c r="D109" s="288" t="s">
        <v>482</v>
      </c>
      <c r="E109" s="293">
        <f ca="1">IF(D109="","",(VLOOKUP($D109,master_food_list,'Master Food List'!N$91,FALSE)))</f>
        <v>110</v>
      </c>
      <c r="F109" s="293">
        <f ca="1">IF(E109="","",(VLOOKUP($D109,master_food_list,'Master Food List'!O$91,FALSE)))</f>
        <v>21</v>
      </c>
      <c r="G109" s="293">
        <f ca="1">IF(F109="","",(VLOOKUP($D109,master_food_list,'Master Food List'!P$91,FALSE)))</f>
        <v>1</v>
      </c>
      <c r="H109" s="293">
        <f ca="1">IF(G109="","",(VLOOKUP($D109,master_food_list,'Master Food List'!Q$91,FALSE)))</f>
        <v>2</v>
      </c>
      <c r="I109" s="293">
        <f ca="1">IF(H109="","",(VLOOKUP($D109,master_food_list,'Master Food List'!R$91,FALSE)))</f>
        <v>150</v>
      </c>
      <c r="J109" s="293">
        <f ca="1">IF(I109="","",(VLOOKUP($D109,master_food_list,'Master Food List'!S$91,FALSE)))</f>
        <v>0</v>
      </c>
      <c r="K109" s="293">
        <f ca="1">IF(J109="","",(VLOOKUP($D109,master_food_list,'Master Food List'!T$91,FALSE)))</f>
        <v>118.27956989247312</v>
      </c>
    </row>
    <row r="110" spans="1:11" s="190" customFormat="1" ht="51" x14ac:dyDescent="0.2">
      <c r="A110" s="278">
        <v>15</v>
      </c>
      <c r="B110" s="279" t="s">
        <v>210</v>
      </c>
      <c r="C110" s="279" t="s">
        <v>462</v>
      </c>
      <c r="D110" s="280" t="s">
        <v>498</v>
      </c>
      <c r="E110" s="291">
        <f ca="1">IF(D110="","",(VLOOKUP($D110,master_food_list,'Master Food List'!N$91,FALSE)))</f>
        <v>1020</v>
      </c>
      <c r="F110" s="291">
        <f ca="1">IF(E110="","",(VLOOKUP($D110,master_food_list,'Master Food List'!O$91,FALSE)))</f>
        <v>96</v>
      </c>
      <c r="G110" s="291">
        <f ca="1">IF(F110="","",(VLOOKUP($D110,master_food_list,'Master Food List'!P$91,FALSE)))</f>
        <v>34</v>
      </c>
      <c r="H110" s="291">
        <f ca="1">IF(G110="","",(VLOOKUP($D110,master_food_list,'Master Food List'!Q$91,FALSE)))</f>
        <v>53</v>
      </c>
      <c r="I110" s="291">
        <f ca="1">IF(H110="","",(VLOOKUP($D110,master_food_list,'Master Food List'!R$91,FALSE)))</f>
        <v>2460</v>
      </c>
      <c r="J110" s="291">
        <f ca="1">IF(I110="","",(VLOOKUP($D110,master_food_list,'Master Food List'!S$91,FALSE)))</f>
        <v>0</v>
      </c>
      <c r="K110" s="291">
        <f ca="1">IF(J110="","",(VLOOKUP($D110,master_food_list,'Master Food List'!T$91,FALSE)))</f>
        <v>0</v>
      </c>
    </row>
    <row r="111" spans="1:11" s="190" customFormat="1" ht="51" x14ac:dyDescent="0.2">
      <c r="A111" s="278">
        <v>15</v>
      </c>
      <c r="B111" s="279" t="s">
        <v>210</v>
      </c>
      <c r="C111" s="279" t="s">
        <v>461</v>
      </c>
      <c r="D111" s="280" t="s">
        <v>481</v>
      </c>
      <c r="E111" s="291">
        <f ca="1">IF(D111="","",(VLOOKUP($D111,master_food_list,'Master Food List'!N$91,FALSE)))</f>
        <v>400</v>
      </c>
      <c r="F111" s="291">
        <f ca="1">IF(E111="","",(VLOOKUP($D111,master_food_list,'Master Food List'!O$91,FALSE)))</f>
        <v>72</v>
      </c>
      <c r="G111" s="291">
        <f ca="1">IF(F111="","",(VLOOKUP($D111,master_food_list,'Master Food List'!P$91,FALSE)))</f>
        <v>6</v>
      </c>
      <c r="H111" s="291">
        <f ca="1">IF(G111="","",(VLOOKUP($D111,master_food_list,'Master Food List'!Q$91,FALSE)))</f>
        <v>10</v>
      </c>
      <c r="I111" s="291">
        <f ca="1">IF(H111="","",(VLOOKUP($D111,master_food_list,'Master Food List'!R$91,FALSE)))</f>
        <v>420</v>
      </c>
      <c r="J111" s="291">
        <f ca="1">IF(I111="","",(VLOOKUP($D111,master_food_list,'Master Food List'!S$91,FALSE)))</f>
        <v>0</v>
      </c>
      <c r="K111" s="291">
        <f ca="1">IF(J111="","",(VLOOKUP($D111,master_food_list,'Master Food List'!T$91,FALSE)))</f>
        <v>109.09090909090909</v>
      </c>
    </row>
    <row r="112" spans="1:11" s="190" customFormat="1" ht="51" x14ac:dyDescent="0.2">
      <c r="A112" s="278">
        <v>15</v>
      </c>
      <c r="B112" s="279" t="s">
        <v>210</v>
      </c>
      <c r="C112" s="279" t="s">
        <v>460</v>
      </c>
      <c r="D112" s="280" t="s">
        <v>495</v>
      </c>
      <c r="E112" s="291">
        <f ca="1">IF(D112="","",(VLOOKUP($D112,master_food_list,'Master Food List'!N$91,FALSE)))</f>
        <v>122</v>
      </c>
      <c r="F112" s="291">
        <f ca="1">IF(E112="","",(VLOOKUP($D112,master_food_list,'Master Food List'!O$91,FALSE)))</f>
        <v>18</v>
      </c>
      <c r="G112" s="291">
        <f ca="1">IF(F112="","",(VLOOKUP($D112,master_food_list,'Master Food List'!P$91,FALSE)))</f>
        <v>9</v>
      </c>
      <c r="H112" s="291">
        <f ca="1">IF(G112="","",(VLOOKUP($D112,master_food_list,'Master Food List'!Q$91,FALSE)))</f>
        <v>7.5</v>
      </c>
      <c r="I112" s="291">
        <f ca="1">IF(H112="","",(VLOOKUP($D112,master_food_list,'Master Food List'!R$91,FALSE)))</f>
        <v>105</v>
      </c>
      <c r="J112" s="291">
        <f ca="1">IF(I112="","",(VLOOKUP($D112,master_food_list,'Master Food List'!S$91,FALSE)))</f>
        <v>0</v>
      </c>
      <c r="K112" s="291">
        <f ca="1">IF(J112="","",(VLOOKUP($D112,master_food_list,'Master Food List'!T$91,FALSE)))</f>
        <v>0</v>
      </c>
    </row>
    <row r="113" spans="1:11" s="190" customFormat="1" ht="51" x14ac:dyDescent="0.2">
      <c r="A113" s="278">
        <v>15</v>
      </c>
      <c r="B113" s="279" t="s">
        <v>210</v>
      </c>
      <c r="C113" s="279" t="s">
        <v>459</v>
      </c>
      <c r="D113" s="280" t="s">
        <v>347</v>
      </c>
      <c r="E113" s="291">
        <f ca="1">IF(D113="","",(VLOOKUP($D113,master_food_list,'Master Food List'!N$91,FALSE)))</f>
        <v>665</v>
      </c>
      <c r="F113" s="291">
        <f ca="1">IF(E113="","",(VLOOKUP($D113,master_food_list,'Master Food List'!O$91,FALSE)))</f>
        <v>0</v>
      </c>
      <c r="G113" s="291">
        <f ca="1">IF(F113="","",(VLOOKUP($D113,master_food_list,'Master Food List'!P$91,FALSE)))</f>
        <v>35</v>
      </c>
      <c r="H113" s="291">
        <f ca="1">IF(G113="","",(VLOOKUP($D113,master_food_list,'Master Food List'!Q$91,FALSE)))</f>
        <v>56</v>
      </c>
      <c r="I113" s="291">
        <f ca="1">IF(H113="","",(VLOOKUP($D113,master_food_list,'Master Food List'!R$91,FALSE)))</f>
        <v>2415</v>
      </c>
      <c r="J113" s="291">
        <f ca="1">IF(I113="","",(VLOOKUP($D113,master_food_list,'Master Food List'!S$91,FALSE)))</f>
        <v>0</v>
      </c>
      <c r="K113" s="291">
        <f ca="1">IF(J113="","",(VLOOKUP($D113,master_food_list,'Master Food List'!T$91,FALSE)))</f>
        <v>180.70652173913044</v>
      </c>
    </row>
    <row r="114" spans="1:11" s="190" customFormat="1" ht="51" x14ac:dyDescent="0.2">
      <c r="A114" s="278">
        <v>15</v>
      </c>
      <c r="B114" s="279" t="s">
        <v>210</v>
      </c>
      <c r="C114" s="279" t="s">
        <v>458</v>
      </c>
      <c r="D114" s="280" t="s">
        <v>294</v>
      </c>
      <c r="E114" s="291">
        <f ca="1">IF(D114="","",(VLOOKUP($D114,master_food_list,'Master Food List'!N$91,FALSE)))</f>
        <v>960</v>
      </c>
      <c r="F114" s="291">
        <f ca="1">IF(E114="","",(VLOOKUP($D114,master_food_list,'Master Food List'!O$91,FALSE)))</f>
        <v>93</v>
      </c>
      <c r="G114" s="291">
        <f ca="1">IF(F114="","",(VLOOKUP($D114,master_food_list,'Master Food List'!P$91,FALSE)))</f>
        <v>39</v>
      </c>
      <c r="H114" s="291">
        <f ca="1">IF(G114="","",(VLOOKUP($D114,master_food_list,'Master Food List'!Q$91,FALSE)))</f>
        <v>45</v>
      </c>
      <c r="I114" s="291">
        <f ca="1">IF(H114="","",(VLOOKUP($D114,master_food_list,'Master Food List'!R$91,FALSE)))</f>
        <v>2040</v>
      </c>
      <c r="J114" s="291">
        <f ca="1">IF(I114="","",(VLOOKUP($D114,master_food_list,'Master Food List'!S$91,FALSE)))</f>
        <v>0</v>
      </c>
      <c r="K114" s="291">
        <f ca="1">IF(J114="","",(VLOOKUP($D114,master_food_list,'Master Food List'!T$91,FALSE)))</f>
        <v>141.03819784524975</v>
      </c>
    </row>
    <row r="115" spans="1:11" s="190" customFormat="1" ht="51" x14ac:dyDescent="0.2">
      <c r="A115" s="278">
        <v>15</v>
      </c>
      <c r="B115" s="279" t="s">
        <v>210</v>
      </c>
      <c r="C115" s="279" t="s">
        <v>457</v>
      </c>
      <c r="D115" s="280"/>
      <c r="E115" s="291" t="str">
        <f>IF(D115="","",(VLOOKUP($D115,master_food_list,'Master Food List'!N$91,FALSE)))</f>
        <v/>
      </c>
      <c r="F115" s="291" t="str">
        <f>IF(E115="","",(VLOOKUP($D115,master_food_list,'Master Food List'!O$91,FALSE)))</f>
        <v/>
      </c>
      <c r="G115" s="291" t="str">
        <f>IF(F115="","",(VLOOKUP($D115,master_food_list,'Master Food List'!P$91,FALSE)))</f>
        <v/>
      </c>
      <c r="H115" s="291" t="str">
        <f>IF(G115="","",(VLOOKUP($D115,master_food_list,'Master Food List'!Q$91,FALSE)))</f>
        <v/>
      </c>
      <c r="I115" s="291" t="str">
        <f>IF(H115="","",(VLOOKUP($D115,master_food_list,'Master Food List'!R$91,FALSE)))</f>
        <v/>
      </c>
      <c r="J115" s="291" t="str">
        <f>IF(I115="","",(VLOOKUP($D115,master_food_list,'Master Food List'!S$91,FALSE)))</f>
        <v/>
      </c>
      <c r="K115" s="291" t="str">
        <f>IF(J115="","",(VLOOKUP($D115,master_food_list,'Master Food List'!T$91,FALSE)))</f>
        <v/>
      </c>
    </row>
    <row r="116" spans="1:11" s="190" customFormat="1" ht="51" x14ac:dyDescent="0.2">
      <c r="A116" s="278">
        <v>15</v>
      </c>
      <c r="B116" s="279" t="s">
        <v>210</v>
      </c>
      <c r="C116" s="279" t="s">
        <v>455</v>
      </c>
      <c r="D116" s="280" t="s">
        <v>482</v>
      </c>
      <c r="E116" s="291">
        <f ca="1">IF(D116="","",(VLOOKUP($D116,master_food_list,'Master Food List'!N$91,FALSE)))</f>
        <v>110</v>
      </c>
      <c r="F116" s="291">
        <f ca="1">IF(E116="","",(VLOOKUP($D116,master_food_list,'Master Food List'!O$91,FALSE)))</f>
        <v>21</v>
      </c>
      <c r="G116" s="291">
        <f ca="1">IF(F116="","",(VLOOKUP($D116,master_food_list,'Master Food List'!P$91,FALSE)))</f>
        <v>1</v>
      </c>
      <c r="H116" s="291">
        <f ca="1">IF(G116="","",(VLOOKUP($D116,master_food_list,'Master Food List'!Q$91,FALSE)))</f>
        <v>2</v>
      </c>
      <c r="I116" s="291">
        <f ca="1">IF(H116="","",(VLOOKUP($D116,master_food_list,'Master Food List'!R$91,FALSE)))</f>
        <v>150</v>
      </c>
      <c r="J116" s="291">
        <f ca="1">IF(I116="","",(VLOOKUP($D116,master_food_list,'Master Food List'!S$91,FALSE)))</f>
        <v>0</v>
      </c>
      <c r="K116" s="291">
        <f ca="1">IF(J116="","",(VLOOKUP($D116,master_food_list,'Master Food List'!T$91,FALSE)))</f>
        <v>118.27956989247312</v>
      </c>
    </row>
    <row r="117" spans="1:11" s="190" customFormat="1" ht="51" x14ac:dyDescent="0.2">
      <c r="A117" s="278">
        <v>16</v>
      </c>
      <c r="B117" s="279" t="s">
        <v>210</v>
      </c>
      <c r="C117" s="279" t="s">
        <v>462</v>
      </c>
      <c r="D117" s="280" t="s">
        <v>284</v>
      </c>
      <c r="E117" s="291">
        <f ca="1">IF(D117="","",(VLOOKUP($D117,master_food_list,'Master Food List'!N$91,FALSE)))</f>
        <v>380</v>
      </c>
      <c r="F117" s="291">
        <f ca="1">IF(E117="","",(VLOOKUP($D117,master_food_list,'Master Food List'!O$91,FALSE)))</f>
        <v>70</v>
      </c>
      <c r="G117" s="291">
        <f ca="1">IF(F117="","",(VLOOKUP($D117,master_food_list,'Master Food List'!P$91,FALSE)))</f>
        <v>4</v>
      </c>
      <c r="H117" s="291">
        <f ca="1">IF(G117="","",(VLOOKUP($D117,master_food_list,'Master Food List'!Q$91,FALSE)))</f>
        <v>10</v>
      </c>
      <c r="I117" s="291">
        <f ca="1">IF(H117="","",(VLOOKUP($D117,master_food_list,'Master Food List'!R$91,FALSE)))</f>
        <v>380</v>
      </c>
      <c r="J117" s="291">
        <f ca="1">IF(I117="","",(VLOOKUP($D117,master_food_list,'Master Food List'!S$91,FALSE)))</f>
        <v>0</v>
      </c>
      <c r="K117" s="291">
        <f ca="1">IF(J117="","",(VLOOKUP($D117,master_food_list,'Master Food List'!T$91,FALSE)))</f>
        <v>107.80141843971631</v>
      </c>
    </row>
    <row r="118" spans="1:11" s="190" customFormat="1" ht="51" x14ac:dyDescent="0.2">
      <c r="A118" s="278">
        <v>16</v>
      </c>
      <c r="B118" s="279" t="s">
        <v>210</v>
      </c>
      <c r="C118" s="279" t="s">
        <v>461</v>
      </c>
      <c r="D118" s="280" t="s">
        <v>284</v>
      </c>
      <c r="E118" s="291">
        <f ca="1">IF(D118="","",(VLOOKUP($D118,master_food_list,'Master Food List'!N$91,FALSE)))</f>
        <v>380</v>
      </c>
      <c r="F118" s="291">
        <f ca="1">IF(E118="","",(VLOOKUP($D118,master_food_list,'Master Food List'!O$91,FALSE)))</f>
        <v>70</v>
      </c>
      <c r="G118" s="291">
        <f ca="1">IF(F118="","",(VLOOKUP($D118,master_food_list,'Master Food List'!P$91,FALSE)))</f>
        <v>4</v>
      </c>
      <c r="H118" s="291">
        <f ca="1">IF(G118="","",(VLOOKUP($D118,master_food_list,'Master Food List'!Q$91,FALSE)))</f>
        <v>10</v>
      </c>
      <c r="I118" s="291">
        <f ca="1">IF(H118="","",(VLOOKUP($D118,master_food_list,'Master Food List'!R$91,FALSE)))</f>
        <v>380</v>
      </c>
      <c r="J118" s="291">
        <f ca="1">IF(I118="","",(VLOOKUP($D118,master_food_list,'Master Food List'!S$91,FALSE)))</f>
        <v>0</v>
      </c>
      <c r="K118" s="291">
        <f ca="1">IF(J118="","",(VLOOKUP($D118,master_food_list,'Master Food List'!T$91,FALSE)))</f>
        <v>107.80141843971631</v>
      </c>
    </row>
    <row r="119" spans="1:11" s="190" customFormat="1" ht="51" x14ac:dyDescent="0.2">
      <c r="A119" s="278">
        <v>16</v>
      </c>
      <c r="B119" s="279" t="s">
        <v>210</v>
      </c>
      <c r="C119" s="279" t="s">
        <v>460</v>
      </c>
      <c r="D119" s="280" t="s">
        <v>495</v>
      </c>
      <c r="E119" s="291">
        <f ca="1">IF(D119="","",(VLOOKUP($D119,master_food_list,'Master Food List'!N$91,FALSE)))</f>
        <v>122</v>
      </c>
      <c r="F119" s="291">
        <f ca="1">IF(E119="","",(VLOOKUP($D119,master_food_list,'Master Food List'!O$91,FALSE)))</f>
        <v>18</v>
      </c>
      <c r="G119" s="291">
        <f ca="1">IF(F119="","",(VLOOKUP($D119,master_food_list,'Master Food List'!P$91,FALSE)))</f>
        <v>9</v>
      </c>
      <c r="H119" s="291">
        <f ca="1">IF(G119="","",(VLOOKUP($D119,master_food_list,'Master Food List'!Q$91,FALSE)))</f>
        <v>7.5</v>
      </c>
      <c r="I119" s="291">
        <f ca="1">IF(H119="","",(VLOOKUP($D119,master_food_list,'Master Food List'!R$91,FALSE)))</f>
        <v>105</v>
      </c>
      <c r="J119" s="291">
        <f ca="1">IF(I119="","",(VLOOKUP($D119,master_food_list,'Master Food List'!S$91,FALSE)))</f>
        <v>0</v>
      </c>
      <c r="K119" s="291">
        <f ca="1">IF(J119="","",(VLOOKUP($D119,master_food_list,'Master Food List'!T$91,FALSE)))</f>
        <v>0</v>
      </c>
    </row>
    <row r="120" spans="1:11" s="190" customFormat="1" ht="51" x14ac:dyDescent="0.2">
      <c r="A120" s="278">
        <v>16</v>
      </c>
      <c r="B120" s="279" t="s">
        <v>210</v>
      </c>
      <c r="C120" s="279" t="s">
        <v>459</v>
      </c>
      <c r="D120" s="280" t="s">
        <v>333</v>
      </c>
      <c r="E120" s="291">
        <f ca="1">IF(D120="","",(VLOOKUP($D120,master_food_list,'Master Food List'!N$91,FALSE)))</f>
        <v>325</v>
      </c>
      <c r="F120" s="291">
        <f ca="1">IF(E120="","",(VLOOKUP($D120,master_food_list,'Master Food List'!O$91,FALSE)))</f>
        <v>40</v>
      </c>
      <c r="G120" s="291">
        <f ca="1">IF(F120="","",(VLOOKUP($D120,master_food_list,'Master Food List'!P$91,FALSE)))</f>
        <v>2.5</v>
      </c>
      <c r="H120" s="291">
        <f ca="1">IF(G120="","",(VLOOKUP($D120,master_food_list,'Master Food List'!Q$91,FALSE)))</f>
        <v>17.5</v>
      </c>
      <c r="I120" s="291">
        <f ca="1">IF(H120="","",(VLOOKUP($D120,master_food_list,'Master Food List'!R$91,FALSE)))</f>
        <v>25</v>
      </c>
      <c r="J120" s="291">
        <f ca="1">IF(I120="","",(VLOOKUP($D120,master_food_list,'Master Food List'!S$91,FALSE)))</f>
        <v>0</v>
      </c>
      <c r="K120" s="291">
        <f ca="1">IF(J120="","",(VLOOKUP($D120,master_food_list,'Master Food List'!T$91,FALSE)))</f>
        <v>156.25</v>
      </c>
    </row>
    <row r="121" spans="1:11" s="190" customFormat="1" ht="51" x14ac:dyDescent="0.2">
      <c r="A121" s="278">
        <v>16</v>
      </c>
      <c r="B121" s="279" t="s">
        <v>210</v>
      </c>
      <c r="C121" s="279" t="s">
        <v>458</v>
      </c>
      <c r="D121" s="280" t="s">
        <v>493</v>
      </c>
      <c r="E121" s="291">
        <f ca="1">IF(D121="","",(VLOOKUP($D121,master_food_list,'Master Food List'!N$91,FALSE)))</f>
        <v>1000</v>
      </c>
      <c r="F121" s="291">
        <f ca="1">IF(E121="","",(VLOOKUP($D121,master_food_list,'Master Food List'!O$91,FALSE)))</f>
        <v>112</v>
      </c>
      <c r="G121" s="291">
        <f ca="1">IF(F121="","",(VLOOKUP($D121,master_food_list,'Master Food List'!P$91,FALSE)))</f>
        <v>40</v>
      </c>
      <c r="H121" s="291">
        <f ca="1">IF(G121="","",(VLOOKUP($D121,master_food_list,'Master Food List'!Q$91,FALSE)))</f>
        <v>52</v>
      </c>
      <c r="I121" s="291">
        <f ca="1">IF(H121="","",(VLOOKUP($D121,master_food_list,'Master Food List'!R$91,FALSE)))</f>
        <v>460</v>
      </c>
      <c r="J121" s="291">
        <f ca="1">IF(I121="","",(VLOOKUP($D121,master_food_list,'Master Food List'!S$91,FALSE)))</f>
        <v>0</v>
      </c>
      <c r="K121" s="291">
        <f ca="1">IF(J121="","",(VLOOKUP($D121,master_food_list,'Master Food List'!T$91,FALSE)))</f>
        <v>123.4567901234568</v>
      </c>
    </row>
    <row r="122" spans="1:11" s="190" customFormat="1" ht="51" x14ac:dyDescent="0.2">
      <c r="A122" s="278">
        <v>16</v>
      </c>
      <c r="B122" s="279" t="s">
        <v>210</v>
      </c>
      <c r="C122" s="279" t="s">
        <v>457</v>
      </c>
      <c r="D122" s="280"/>
      <c r="E122" s="291" t="str">
        <f>IF(D122="","",(VLOOKUP($D122,master_food_list,'Master Food List'!N$91,FALSE)))</f>
        <v/>
      </c>
      <c r="F122" s="291" t="str">
        <f>IF(E122="","",(VLOOKUP($D122,master_food_list,'Master Food List'!O$91,FALSE)))</f>
        <v/>
      </c>
      <c r="G122" s="291" t="str">
        <f>IF(F122="","",(VLOOKUP($D122,master_food_list,'Master Food List'!P$91,FALSE)))</f>
        <v/>
      </c>
      <c r="H122" s="291" t="str">
        <f>IF(G122="","",(VLOOKUP($D122,master_food_list,'Master Food List'!Q$91,FALSE)))</f>
        <v/>
      </c>
      <c r="I122" s="291" t="str">
        <f>IF(H122="","",(VLOOKUP($D122,master_food_list,'Master Food List'!R$91,FALSE)))</f>
        <v/>
      </c>
      <c r="J122" s="291" t="str">
        <f>IF(I122="","",(VLOOKUP($D122,master_food_list,'Master Food List'!S$91,FALSE)))</f>
        <v/>
      </c>
      <c r="K122" s="291" t="str">
        <f>IF(J122="","",(VLOOKUP($D122,master_food_list,'Master Food List'!T$91,FALSE)))</f>
        <v/>
      </c>
    </row>
    <row r="123" spans="1:11" s="190" customFormat="1" ht="51" x14ac:dyDescent="0.2">
      <c r="A123" s="278">
        <v>16</v>
      </c>
      <c r="B123" s="279" t="s">
        <v>210</v>
      </c>
      <c r="C123" s="279" t="s">
        <v>455</v>
      </c>
      <c r="D123" s="280" t="s">
        <v>484</v>
      </c>
      <c r="E123" s="291">
        <f ca="1">IF(D123="","",(VLOOKUP($D123,master_food_list,'Master Food List'!N$91,FALSE)))</f>
        <v>540</v>
      </c>
      <c r="F123" s="291">
        <f ca="1">IF(E123="","",(VLOOKUP($D123,master_food_list,'Master Food List'!O$91,FALSE)))</f>
        <v>72</v>
      </c>
      <c r="G123" s="291">
        <f ca="1">IF(F123="","",(VLOOKUP($D123,master_food_list,'Master Food List'!P$91,FALSE)))</f>
        <v>14</v>
      </c>
      <c r="H123" s="291">
        <f ca="1">IF(G123="","",(VLOOKUP($D123,master_food_list,'Master Food List'!Q$91,FALSE)))</f>
        <v>22</v>
      </c>
      <c r="I123" s="291">
        <f ca="1">IF(H123="","",(VLOOKUP($D123,master_food_list,'Master Food List'!R$91,FALSE)))</f>
        <v>780</v>
      </c>
      <c r="J123" s="291">
        <f ca="1">IF(I123="","",(VLOOKUP($D123,master_food_list,'Master Food List'!S$91,FALSE)))</f>
        <v>0</v>
      </c>
      <c r="K123" s="291">
        <f ca="1">IF(J123="","",(VLOOKUP($D123,master_food_list,'Master Food List'!T$91,FALSE)))</f>
        <v>117.39130434782609</v>
      </c>
    </row>
    <row r="124" spans="1:11" s="189" customFormat="1" ht="51" x14ac:dyDescent="0.2">
      <c r="A124" s="282">
        <v>17</v>
      </c>
      <c r="B124" s="283" t="s">
        <v>210</v>
      </c>
      <c r="C124" s="283" t="s">
        <v>462</v>
      </c>
      <c r="D124" s="284" t="s">
        <v>480</v>
      </c>
      <c r="E124" s="292">
        <f ca="1">IF(D124="","",(VLOOKUP($D124,master_food_list,'Master Food List'!N$91,FALSE)))</f>
        <v>620</v>
      </c>
      <c r="F124" s="292">
        <f ca="1">IF(E124="","",(VLOOKUP($D124,master_food_list,'Master Food List'!O$91,FALSE)))</f>
        <v>74</v>
      </c>
      <c r="G124" s="292">
        <f ca="1">IF(F124="","",(VLOOKUP($D124,master_food_list,'Master Food List'!P$91,FALSE)))</f>
        <v>16</v>
      </c>
      <c r="H124" s="292">
        <f ca="1">IF(G124="","",(VLOOKUP($D124,master_food_list,'Master Food List'!Q$91,FALSE)))</f>
        <v>31</v>
      </c>
      <c r="I124" s="292">
        <f ca="1">IF(H124="","",(VLOOKUP($D124,master_food_list,'Master Food List'!R$91,FALSE)))</f>
        <v>280</v>
      </c>
      <c r="J124" s="292">
        <f ca="1">IF(I124="","",(VLOOKUP($D124,master_food_list,'Master Food List'!S$91,FALSE)))</f>
        <v>0</v>
      </c>
      <c r="K124" s="292">
        <f ca="1">IF(J124="","",(VLOOKUP($D124,master_food_list,'Master Food List'!T$91,FALSE)))</f>
        <v>130.52631578947367</v>
      </c>
    </row>
    <row r="125" spans="1:11" s="189" customFormat="1" ht="51" x14ac:dyDescent="0.2">
      <c r="A125" s="282">
        <v>17</v>
      </c>
      <c r="B125" s="283" t="s">
        <v>210</v>
      </c>
      <c r="C125" s="283" t="s">
        <v>461</v>
      </c>
      <c r="D125" s="284" t="s">
        <v>347</v>
      </c>
      <c r="E125" s="292">
        <f ca="1">IF(D125="","",(VLOOKUP($D125,master_food_list,'Master Food List'!N$91,FALSE)))</f>
        <v>665</v>
      </c>
      <c r="F125" s="292">
        <f ca="1">IF(E125="","",(VLOOKUP($D125,master_food_list,'Master Food List'!O$91,FALSE)))</f>
        <v>0</v>
      </c>
      <c r="G125" s="292">
        <f ca="1">IF(F125="","",(VLOOKUP($D125,master_food_list,'Master Food List'!P$91,FALSE)))</f>
        <v>35</v>
      </c>
      <c r="H125" s="292">
        <f ca="1">IF(G125="","",(VLOOKUP($D125,master_food_list,'Master Food List'!Q$91,FALSE)))</f>
        <v>56</v>
      </c>
      <c r="I125" s="292">
        <f ca="1">IF(H125="","",(VLOOKUP($D125,master_food_list,'Master Food List'!R$91,FALSE)))</f>
        <v>2415</v>
      </c>
      <c r="J125" s="292">
        <f ca="1">IF(I125="","",(VLOOKUP($D125,master_food_list,'Master Food List'!S$91,FALSE)))</f>
        <v>0</v>
      </c>
      <c r="K125" s="292">
        <f ca="1">IF(J125="","",(VLOOKUP($D125,master_food_list,'Master Food List'!T$91,FALSE)))</f>
        <v>180.70652173913044</v>
      </c>
    </row>
    <row r="126" spans="1:11" s="189" customFormat="1" ht="51" x14ac:dyDescent="0.2">
      <c r="A126" s="282">
        <v>17</v>
      </c>
      <c r="B126" s="283" t="s">
        <v>210</v>
      </c>
      <c r="C126" s="283" t="s">
        <v>460</v>
      </c>
      <c r="D126" s="284"/>
      <c r="E126" s="292" t="str">
        <f>IF(D126="","",(VLOOKUP($D126,master_food_list,'Master Food List'!N$91,FALSE)))</f>
        <v/>
      </c>
      <c r="F126" s="292" t="str">
        <f>IF(E126="","",(VLOOKUP($D126,master_food_list,'Master Food List'!O$91,FALSE)))</f>
        <v/>
      </c>
      <c r="G126" s="292" t="str">
        <f>IF(F126="","",(VLOOKUP($D126,master_food_list,'Master Food List'!P$91,FALSE)))</f>
        <v/>
      </c>
      <c r="H126" s="292" t="str">
        <f>IF(G126="","",(VLOOKUP($D126,master_food_list,'Master Food List'!Q$91,FALSE)))</f>
        <v/>
      </c>
      <c r="I126" s="292" t="str">
        <f>IF(H126="","",(VLOOKUP($D126,master_food_list,'Master Food List'!R$91,FALSE)))</f>
        <v/>
      </c>
      <c r="J126" s="292" t="str">
        <f>IF(I126="","",(VLOOKUP($D126,master_food_list,'Master Food List'!S$91,FALSE)))</f>
        <v/>
      </c>
      <c r="K126" s="292" t="str">
        <f>IF(J126="","",(VLOOKUP($D126,master_food_list,'Master Food List'!T$91,FALSE)))</f>
        <v/>
      </c>
    </row>
    <row r="127" spans="1:11" s="189" customFormat="1" ht="51" x14ac:dyDescent="0.2">
      <c r="A127" s="282">
        <v>17</v>
      </c>
      <c r="B127" s="283" t="s">
        <v>210</v>
      </c>
      <c r="C127" s="283" t="s">
        <v>459</v>
      </c>
      <c r="D127" s="284" t="s">
        <v>430</v>
      </c>
      <c r="E127" s="292">
        <f ca="1">IF(D127="","",(VLOOKUP($D127,master_food_list,'Master Food List'!N$91,FALSE)))</f>
        <v>510</v>
      </c>
      <c r="F127" s="292">
        <f ca="1">IF(E127="","",(VLOOKUP($D127,master_food_list,'Master Food List'!O$91,FALSE)))</f>
        <v>42</v>
      </c>
      <c r="G127" s="292">
        <f ca="1">IF(F127="","",(VLOOKUP($D127,master_food_list,'Master Food List'!P$91,FALSE)))</f>
        <v>10.5</v>
      </c>
      <c r="H127" s="292">
        <f ca="1">IF(G127="","",(VLOOKUP($D127,master_food_list,'Master Food List'!Q$91,FALSE)))</f>
        <v>33</v>
      </c>
      <c r="I127" s="292">
        <f ca="1">IF(H127="","",(VLOOKUP($D127,master_food_list,'Master Food List'!R$91,FALSE)))</f>
        <v>75</v>
      </c>
      <c r="J127" s="292">
        <f ca="1">IF(I127="","",(VLOOKUP($D127,master_food_list,'Master Food List'!S$91,FALSE)))</f>
        <v>0</v>
      </c>
      <c r="K127" s="292">
        <f ca="1">IF(J127="","",(VLOOKUP($D127,master_food_list,'Master Food List'!T$91,FALSE)))</f>
        <v>170</v>
      </c>
    </row>
    <row r="128" spans="1:11" s="189" customFormat="1" ht="51" x14ac:dyDescent="0.2">
      <c r="A128" s="282">
        <v>17</v>
      </c>
      <c r="B128" s="283" t="s">
        <v>210</v>
      </c>
      <c r="C128" s="283" t="s">
        <v>458</v>
      </c>
      <c r="D128" s="284" t="s">
        <v>486</v>
      </c>
      <c r="E128" s="292">
        <f ca="1">IF(D128="","",(VLOOKUP($D128,master_food_list,'Master Food List'!N$91,FALSE)))</f>
        <v>960</v>
      </c>
      <c r="F128" s="292">
        <f ca="1">IF(E128="","",(VLOOKUP($D128,master_food_list,'Master Food List'!O$91,FALSE)))</f>
        <v>178</v>
      </c>
      <c r="G128" s="292">
        <f ca="1">IF(F128="","",(VLOOKUP($D128,master_food_list,'Master Food List'!P$91,FALSE)))</f>
        <v>34</v>
      </c>
      <c r="H128" s="292">
        <f ca="1">IF(G128="","",(VLOOKUP($D128,master_food_list,'Master Food List'!Q$91,FALSE)))</f>
        <v>12</v>
      </c>
      <c r="I128" s="292">
        <f ca="1">IF(H128="","",(VLOOKUP($D128,master_food_list,'Master Food List'!R$91,FALSE)))</f>
        <v>1620</v>
      </c>
      <c r="J128" s="292">
        <f ca="1">IF(I128="","",(VLOOKUP($D128,master_food_list,'Master Food List'!S$91,FALSE)))</f>
        <v>0</v>
      </c>
      <c r="K128" s="292">
        <f ca="1">IF(J128="","",(VLOOKUP($D128,master_food_list,'Master Food List'!T$91,FALSE)))</f>
        <v>109.09090909090908</v>
      </c>
    </row>
    <row r="129" spans="1:11" s="189" customFormat="1" ht="51" x14ac:dyDescent="0.2">
      <c r="A129" s="282">
        <v>17</v>
      </c>
      <c r="B129" s="283" t="s">
        <v>210</v>
      </c>
      <c r="C129" s="283" t="s">
        <v>457</v>
      </c>
      <c r="D129" s="284" t="s">
        <v>479</v>
      </c>
      <c r="E129" s="292">
        <f ca="1">IF(D129="","",(VLOOKUP($D129,master_food_list,'Master Food List'!N$91,FALSE)))</f>
        <v>300</v>
      </c>
      <c r="F129" s="292">
        <f ca="1">IF(E129="","",(VLOOKUP($D129,master_food_list,'Master Food List'!O$91,FALSE)))</f>
        <v>10.5</v>
      </c>
      <c r="G129" s="292">
        <f ca="1">IF(F129="","",(VLOOKUP($D129,master_food_list,'Master Food List'!P$91,FALSE)))</f>
        <v>10.5</v>
      </c>
      <c r="H129" s="292">
        <f ca="1">IF(G129="","",(VLOOKUP($D129,master_food_list,'Master Food List'!Q$91,FALSE)))</f>
        <v>25.5</v>
      </c>
      <c r="I129" s="292">
        <f ca="1">IF(H129="","",(VLOOKUP($D129,master_food_list,'Master Food List'!R$91,FALSE)))</f>
        <v>150</v>
      </c>
      <c r="J129" s="292">
        <f ca="1">IF(I129="","",(VLOOKUP($D129,master_food_list,'Master Food List'!S$91,FALSE)))</f>
        <v>0</v>
      </c>
      <c r="K129" s="292">
        <f ca="1">IF(J129="","",(VLOOKUP($D129,master_food_list,'Master Food List'!T$91,FALSE)))</f>
        <v>177.77777777777777</v>
      </c>
    </row>
    <row r="130" spans="1:11" s="189" customFormat="1" ht="51" x14ac:dyDescent="0.2">
      <c r="A130" s="282">
        <v>17</v>
      </c>
      <c r="B130" s="283" t="s">
        <v>210</v>
      </c>
      <c r="C130" s="283" t="s">
        <v>455</v>
      </c>
      <c r="D130" s="284" t="s">
        <v>313</v>
      </c>
      <c r="E130" s="292">
        <f ca="1">IF(D130="","",(VLOOKUP($D130,master_food_list,'Master Food List'!N$91,FALSE)))</f>
        <v>170</v>
      </c>
      <c r="F130" s="292">
        <f ca="1">IF(E130="","",(VLOOKUP($D130,master_food_list,'Master Food List'!O$91,FALSE)))</f>
        <v>28</v>
      </c>
      <c r="G130" s="292">
        <f ca="1">IF(F130="","",(VLOOKUP($D130,master_food_list,'Master Food List'!P$91,FALSE)))</f>
        <v>2</v>
      </c>
      <c r="H130" s="292">
        <f ca="1">IF(G130="","",(VLOOKUP($D130,master_food_list,'Master Food List'!Q$91,FALSE)))</f>
        <v>6</v>
      </c>
      <c r="I130" s="292">
        <f ca="1">IF(H130="","",(VLOOKUP($D130,master_food_list,'Master Food List'!R$91,FALSE)))</f>
        <v>135</v>
      </c>
      <c r="J130" s="292">
        <f ca="1">IF(I130="","",(VLOOKUP($D130,master_food_list,'Master Food List'!S$91,FALSE)))</f>
        <v>0</v>
      </c>
      <c r="K130" s="292">
        <f ca="1">IF(J130="","",(VLOOKUP($D130,master_food_list,'Master Food List'!T$91,FALSE)))</f>
        <v>150.44247787610621</v>
      </c>
    </row>
    <row r="131" spans="1:11" customFormat="1" ht="51" x14ac:dyDescent="0.2">
      <c r="A131" s="286">
        <v>18</v>
      </c>
      <c r="B131" s="287" t="s">
        <v>210</v>
      </c>
      <c r="C131" s="287" t="s">
        <v>462</v>
      </c>
      <c r="D131" s="288" t="s">
        <v>480</v>
      </c>
      <c r="E131" s="293">
        <f ca="1">IF(D131="","",(VLOOKUP($D131,master_food_list,'Master Food List'!N$91,FALSE)))</f>
        <v>620</v>
      </c>
      <c r="F131" s="293">
        <f ca="1">IF(E131="","",(VLOOKUP($D131,master_food_list,'Master Food List'!O$91,FALSE)))</f>
        <v>74</v>
      </c>
      <c r="G131" s="293">
        <f ca="1">IF(F131="","",(VLOOKUP($D131,master_food_list,'Master Food List'!P$91,FALSE)))</f>
        <v>16</v>
      </c>
      <c r="H131" s="293">
        <f ca="1">IF(G131="","",(VLOOKUP($D131,master_food_list,'Master Food List'!Q$91,FALSE)))</f>
        <v>31</v>
      </c>
      <c r="I131" s="293">
        <f ca="1">IF(H131="","",(VLOOKUP($D131,master_food_list,'Master Food List'!R$91,FALSE)))</f>
        <v>280</v>
      </c>
      <c r="J131" s="293">
        <f ca="1">IF(I131="","",(VLOOKUP($D131,master_food_list,'Master Food List'!S$91,FALSE)))</f>
        <v>0</v>
      </c>
      <c r="K131" s="293">
        <f ca="1">IF(J131="","",(VLOOKUP($D131,master_food_list,'Master Food List'!T$91,FALSE)))</f>
        <v>130.52631578947367</v>
      </c>
    </row>
    <row r="132" spans="1:11" customFormat="1" ht="51" x14ac:dyDescent="0.2">
      <c r="A132" s="286">
        <v>18</v>
      </c>
      <c r="B132" s="287" t="s">
        <v>210</v>
      </c>
      <c r="C132" s="287" t="s">
        <v>461</v>
      </c>
      <c r="D132" s="288" t="s">
        <v>354</v>
      </c>
      <c r="E132" s="293">
        <f ca="1">IF(D132="","",(VLOOKUP($D132,master_food_list,'Master Food List'!N$91,FALSE)))</f>
        <v>270</v>
      </c>
      <c r="F132" s="293">
        <f ca="1">IF(E132="","",(VLOOKUP($D132,master_food_list,'Master Food List'!O$91,FALSE)))</f>
        <v>72</v>
      </c>
      <c r="G132" s="293">
        <f ca="1">IF(F132="","",(VLOOKUP($D132,master_food_list,'Master Food List'!P$91,FALSE)))</f>
        <v>3</v>
      </c>
      <c r="H132" s="293">
        <f ca="1">IF(G132="","",(VLOOKUP($D132,master_food_list,'Master Food List'!Q$91,FALSE)))</f>
        <v>0</v>
      </c>
      <c r="I132" s="293">
        <f ca="1">IF(H132="","",(VLOOKUP($D132,master_food_list,'Master Food List'!R$91,FALSE)))</f>
        <v>0</v>
      </c>
      <c r="J132" s="293">
        <f ca="1">IF(I132="","",(VLOOKUP($D132,master_food_list,'Master Food List'!S$91,FALSE)))</f>
        <v>0</v>
      </c>
      <c r="K132" s="293">
        <f ca="1">IF(J132="","",(VLOOKUP($D132,master_food_list,'Master Food List'!T$91,FALSE)))</f>
        <v>112.5</v>
      </c>
    </row>
    <row r="133" spans="1:11" customFormat="1" ht="51" x14ac:dyDescent="0.2">
      <c r="A133" s="286">
        <v>18</v>
      </c>
      <c r="B133" s="287" t="s">
        <v>210</v>
      </c>
      <c r="C133" s="287" t="s">
        <v>460</v>
      </c>
      <c r="D133" s="288"/>
      <c r="E133" s="293" t="str">
        <f>IF(D133="","",(VLOOKUP($D133,master_food_list,'Master Food List'!N$91,FALSE)))</f>
        <v/>
      </c>
      <c r="F133" s="293" t="str">
        <f>IF(E133="","",(VLOOKUP($D133,master_food_list,'Master Food List'!O$91,FALSE)))</f>
        <v/>
      </c>
      <c r="G133" s="293" t="str">
        <f>IF(F133="","",(VLOOKUP($D133,master_food_list,'Master Food List'!P$91,FALSE)))</f>
        <v/>
      </c>
      <c r="H133" s="293" t="str">
        <f>IF(G133="","",(VLOOKUP($D133,master_food_list,'Master Food List'!Q$91,FALSE)))</f>
        <v/>
      </c>
      <c r="I133" s="293" t="str">
        <f>IF(H133="","",(VLOOKUP($D133,master_food_list,'Master Food List'!R$91,FALSE)))</f>
        <v/>
      </c>
      <c r="J133" s="293" t="str">
        <f>IF(I133="","",(VLOOKUP($D133,master_food_list,'Master Food List'!S$91,FALSE)))</f>
        <v/>
      </c>
      <c r="K133" s="293" t="str">
        <f>IF(J133="","",(VLOOKUP($D133,master_food_list,'Master Food List'!T$91,FALSE)))</f>
        <v/>
      </c>
    </row>
    <row r="134" spans="1:11" customFormat="1" ht="51" x14ac:dyDescent="0.2">
      <c r="A134" s="286">
        <v>18</v>
      </c>
      <c r="B134" s="287" t="s">
        <v>210</v>
      </c>
      <c r="C134" s="287" t="s">
        <v>459</v>
      </c>
      <c r="D134" s="288" t="s">
        <v>490</v>
      </c>
      <c r="E134" s="293">
        <f ca="1">IF(D134="","",(VLOOKUP($D134,master_food_list,'Master Food List'!N$91,FALSE)))</f>
        <v>225</v>
      </c>
      <c r="F134" s="293">
        <f ca="1">IF(E134="","",(VLOOKUP($D134,master_food_list,'Master Food List'!O$91,FALSE)))</f>
        <v>30</v>
      </c>
      <c r="G134" s="293">
        <f ca="1">IF(F134="","",(VLOOKUP($D134,master_food_list,'Master Food List'!P$91,FALSE)))</f>
        <v>20</v>
      </c>
      <c r="H134" s="293">
        <f ca="1">IF(G134="","",(VLOOKUP($D134,master_food_list,'Master Food List'!Q$91,FALSE)))</f>
        <v>3.75</v>
      </c>
      <c r="I134" s="293">
        <f ca="1">IF(H134="","",(VLOOKUP($D134,master_food_list,'Master Food List'!R$91,FALSE)))</f>
        <v>875</v>
      </c>
      <c r="J134" s="293">
        <f ca="1">IF(I134="","",(VLOOKUP($D134,master_food_list,'Master Food List'!S$91,FALSE)))</f>
        <v>0</v>
      </c>
      <c r="K134" s="293">
        <f ca="1">IF(J134="","",(VLOOKUP($D134,master_food_list,'Master Food List'!T$91,FALSE)))</f>
        <v>83.333333333333329</v>
      </c>
    </row>
    <row r="135" spans="1:11" customFormat="1" ht="51" x14ac:dyDescent="0.2">
      <c r="A135" s="286">
        <v>18</v>
      </c>
      <c r="B135" s="287" t="s">
        <v>210</v>
      </c>
      <c r="C135" s="287" t="s">
        <v>458</v>
      </c>
      <c r="D135" s="288" t="s">
        <v>492</v>
      </c>
      <c r="E135" s="293">
        <f ca="1">IF(D135="","",(VLOOKUP($D135,master_food_list,'Master Food List'!N$91,FALSE)))</f>
        <v>620</v>
      </c>
      <c r="F135" s="293">
        <f ca="1">IF(E135="","",(VLOOKUP($D135,master_food_list,'Master Food List'!O$91,FALSE)))</f>
        <v>90</v>
      </c>
      <c r="G135" s="293">
        <f ca="1">IF(F135="","",(VLOOKUP($D135,master_food_list,'Master Food List'!P$91,FALSE)))</f>
        <v>28</v>
      </c>
      <c r="H135" s="293">
        <f ca="1">IF(G135="","",(VLOOKUP($D135,master_food_list,'Master Food List'!Q$91,FALSE)))</f>
        <v>20</v>
      </c>
      <c r="I135" s="293">
        <f ca="1">IF(H135="","",(VLOOKUP($D135,master_food_list,'Master Food List'!R$91,FALSE)))</f>
        <v>1340</v>
      </c>
      <c r="J135" s="293">
        <f ca="1">IF(I135="","",(VLOOKUP($D135,master_food_list,'Master Food List'!S$91,FALSE)))</f>
        <v>0</v>
      </c>
      <c r="K135" s="293">
        <f ca="1">IF(J135="","",(VLOOKUP($D135,master_food_list,'Master Food List'!T$91,FALSE)))</f>
        <v>122.04724409448819</v>
      </c>
    </row>
    <row r="136" spans="1:11" customFormat="1" ht="51" x14ac:dyDescent="0.2">
      <c r="A136" s="286">
        <v>18</v>
      </c>
      <c r="B136" s="287" t="s">
        <v>210</v>
      </c>
      <c r="C136" s="287" t="s">
        <v>457</v>
      </c>
      <c r="D136" s="288" t="s">
        <v>479</v>
      </c>
      <c r="E136" s="293">
        <f ca="1">IF(D136="","",(VLOOKUP($D136,master_food_list,'Master Food List'!N$91,FALSE)))</f>
        <v>300</v>
      </c>
      <c r="F136" s="293">
        <f ca="1">IF(E136="","",(VLOOKUP($D136,master_food_list,'Master Food List'!O$91,FALSE)))</f>
        <v>10.5</v>
      </c>
      <c r="G136" s="293">
        <f ca="1">IF(F136="","",(VLOOKUP($D136,master_food_list,'Master Food List'!P$91,FALSE)))</f>
        <v>10.5</v>
      </c>
      <c r="H136" s="293">
        <f ca="1">IF(G136="","",(VLOOKUP($D136,master_food_list,'Master Food List'!Q$91,FALSE)))</f>
        <v>25.5</v>
      </c>
      <c r="I136" s="293">
        <f ca="1">IF(H136="","",(VLOOKUP($D136,master_food_list,'Master Food List'!R$91,FALSE)))</f>
        <v>150</v>
      </c>
      <c r="J136" s="293">
        <f ca="1">IF(I136="","",(VLOOKUP($D136,master_food_list,'Master Food List'!S$91,FALSE)))</f>
        <v>0</v>
      </c>
      <c r="K136" s="293">
        <f ca="1">IF(J136="","",(VLOOKUP($D136,master_food_list,'Master Food List'!T$91,FALSE)))</f>
        <v>177.77777777777777</v>
      </c>
    </row>
    <row r="137" spans="1:11" customFormat="1" ht="51" x14ac:dyDescent="0.2">
      <c r="A137" s="286">
        <v>18</v>
      </c>
      <c r="B137" s="287" t="s">
        <v>210</v>
      </c>
      <c r="C137" s="287" t="s">
        <v>455</v>
      </c>
      <c r="D137" s="288" t="s">
        <v>482</v>
      </c>
      <c r="E137" s="293">
        <f ca="1">IF(D137="","",(VLOOKUP($D137,master_food_list,'Master Food List'!N$91,FALSE)))</f>
        <v>110</v>
      </c>
      <c r="F137" s="293">
        <f ca="1">IF(E137="","",(VLOOKUP($D137,master_food_list,'Master Food List'!O$91,FALSE)))</f>
        <v>21</v>
      </c>
      <c r="G137" s="293">
        <f ca="1">IF(F137="","",(VLOOKUP($D137,master_food_list,'Master Food List'!P$91,FALSE)))</f>
        <v>1</v>
      </c>
      <c r="H137" s="293">
        <f ca="1">IF(G137="","",(VLOOKUP($D137,master_food_list,'Master Food List'!Q$91,FALSE)))</f>
        <v>2</v>
      </c>
      <c r="I137" s="293">
        <f ca="1">IF(H137="","",(VLOOKUP($D137,master_food_list,'Master Food List'!R$91,FALSE)))</f>
        <v>150</v>
      </c>
      <c r="J137" s="293">
        <f ca="1">IF(I137="","",(VLOOKUP($D137,master_food_list,'Master Food List'!S$91,FALSE)))</f>
        <v>0</v>
      </c>
      <c r="K137" s="293">
        <f ca="1">IF(J137="","",(VLOOKUP($D137,master_food_list,'Master Food List'!T$91,FALSE)))</f>
        <v>118.27956989247312</v>
      </c>
    </row>
    <row r="138" spans="1:11" customFormat="1" ht="51" x14ac:dyDescent="0.2">
      <c r="A138" s="286">
        <v>19</v>
      </c>
      <c r="B138" s="287" t="s">
        <v>210</v>
      </c>
      <c r="C138" s="287" t="s">
        <v>462</v>
      </c>
      <c r="D138" s="288" t="s">
        <v>480</v>
      </c>
      <c r="E138" s="293">
        <f ca="1">IF(D138="","",(VLOOKUP($D138,master_food_list,'Master Food List'!N$91,FALSE)))</f>
        <v>620</v>
      </c>
      <c r="F138" s="293">
        <f ca="1">IF(E138="","",(VLOOKUP($D138,master_food_list,'Master Food List'!O$91,FALSE)))</f>
        <v>74</v>
      </c>
      <c r="G138" s="293">
        <f ca="1">IF(F138="","",(VLOOKUP($D138,master_food_list,'Master Food List'!P$91,FALSE)))</f>
        <v>16</v>
      </c>
      <c r="H138" s="293">
        <f ca="1">IF(G138="","",(VLOOKUP($D138,master_food_list,'Master Food List'!Q$91,FALSE)))</f>
        <v>31</v>
      </c>
      <c r="I138" s="293">
        <f ca="1">IF(H138="","",(VLOOKUP($D138,master_food_list,'Master Food List'!R$91,FALSE)))</f>
        <v>280</v>
      </c>
      <c r="J138" s="293">
        <f ca="1">IF(I138="","",(VLOOKUP($D138,master_food_list,'Master Food List'!S$91,FALSE)))</f>
        <v>0</v>
      </c>
      <c r="K138" s="293">
        <f ca="1">IF(J138="","",(VLOOKUP($D138,master_food_list,'Master Food List'!T$91,FALSE)))</f>
        <v>130.52631578947367</v>
      </c>
    </row>
    <row r="139" spans="1:11" customFormat="1" ht="51" x14ac:dyDescent="0.2">
      <c r="A139" s="286">
        <v>19</v>
      </c>
      <c r="B139" s="287" t="s">
        <v>210</v>
      </c>
      <c r="C139" s="287" t="s">
        <v>461</v>
      </c>
      <c r="D139" s="288" t="s">
        <v>489</v>
      </c>
      <c r="E139" s="293">
        <f ca="1">IF(D139="","",(VLOOKUP($D139,master_food_list,'Master Food List'!N$91,FALSE)))</f>
        <v>200</v>
      </c>
      <c r="F139" s="293">
        <f ca="1">IF(E139="","",(VLOOKUP($D139,master_food_list,'Master Food List'!O$91,FALSE)))</f>
        <v>25</v>
      </c>
      <c r="G139" s="293">
        <f ca="1">IF(F139="","",(VLOOKUP($D139,master_food_list,'Master Food List'!P$91,FALSE)))</f>
        <v>22.5</v>
      </c>
      <c r="H139" s="293">
        <f ca="1">IF(G139="","",(VLOOKUP($D139,master_food_list,'Master Food List'!Q$91,FALSE)))</f>
        <v>1.25</v>
      </c>
      <c r="I139" s="293">
        <f ca="1">IF(H139="","",(VLOOKUP($D139,master_food_list,'Master Food List'!R$91,FALSE)))</f>
        <v>800</v>
      </c>
      <c r="J139" s="293">
        <f ca="1">IF(I139="","",(VLOOKUP($D139,master_food_list,'Master Food List'!S$91,FALSE)))</f>
        <v>0</v>
      </c>
      <c r="K139" s="293">
        <f ca="1">IF(J139="","",(VLOOKUP($D139,master_food_list,'Master Food List'!T$91,FALSE)))</f>
        <v>74.074074074074076</v>
      </c>
    </row>
    <row r="140" spans="1:11" customFormat="1" ht="51" x14ac:dyDescent="0.2">
      <c r="A140" s="286">
        <v>19</v>
      </c>
      <c r="B140" s="287" t="s">
        <v>210</v>
      </c>
      <c r="C140" s="287" t="s">
        <v>460</v>
      </c>
      <c r="D140" s="288"/>
      <c r="E140" s="293" t="str">
        <f>IF(D140="","",(VLOOKUP($D140,master_food_list,'Master Food List'!N$91,FALSE)))</f>
        <v/>
      </c>
      <c r="F140" s="293" t="str">
        <f>IF(E140="","",(VLOOKUP($D140,master_food_list,'Master Food List'!O$91,FALSE)))</f>
        <v/>
      </c>
      <c r="G140" s="293" t="str">
        <f>IF(F140="","",(VLOOKUP($D140,master_food_list,'Master Food List'!P$91,FALSE)))</f>
        <v/>
      </c>
      <c r="H140" s="293" t="str">
        <f>IF(G140="","",(VLOOKUP($D140,master_food_list,'Master Food List'!Q$91,FALSE)))</f>
        <v/>
      </c>
      <c r="I140" s="293" t="str">
        <f>IF(H140="","",(VLOOKUP($D140,master_food_list,'Master Food List'!R$91,FALSE)))</f>
        <v/>
      </c>
      <c r="J140" s="293" t="str">
        <f>IF(I140="","",(VLOOKUP($D140,master_food_list,'Master Food List'!S$91,FALSE)))</f>
        <v/>
      </c>
      <c r="K140" s="293" t="str">
        <f>IF(J140="","",(VLOOKUP($D140,master_food_list,'Master Food List'!T$91,FALSE)))</f>
        <v/>
      </c>
    </row>
    <row r="141" spans="1:11" customFormat="1" ht="51" x14ac:dyDescent="0.2">
      <c r="A141" s="286">
        <v>19</v>
      </c>
      <c r="B141" s="287" t="s">
        <v>210</v>
      </c>
      <c r="C141" s="287" t="s">
        <v>459</v>
      </c>
      <c r="D141" s="288" t="s">
        <v>427</v>
      </c>
      <c r="E141" s="293">
        <f ca="1">IF(D141="","",(VLOOKUP($D141,master_food_list,'Master Food List'!N$91,FALSE)))</f>
        <v>300</v>
      </c>
      <c r="F141" s="293">
        <f ca="1">IF(E141="","",(VLOOKUP($D141,master_food_list,'Master Food List'!O$91,FALSE)))</f>
        <v>24</v>
      </c>
      <c r="G141" s="293">
        <f ca="1">IF(F141="","",(VLOOKUP($D141,master_food_list,'Master Food List'!P$91,FALSE)))</f>
        <v>8</v>
      </c>
      <c r="H141" s="293">
        <f ca="1">IF(G141="","",(VLOOKUP($D141,master_food_list,'Master Food List'!Q$91,FALSE)))</f>
        <v>20</v>
      </c>
      <c r="I141" s="293">
        <f ca="1">IF(H141="","",(VLOOKUP($D141,master_food_list,'Master Food List'!R$91,FALSE)))</f>
        <v>120</v>
      </c>
      <c r="J141" s="293">
        <f ca="1">IF(I141="","",(VLOOKUP($D141,master_food_list,'Master Food List'!S$91,FALSE)))</f>
        <v>0</v>
      </c>
      <c r="K141" s="293">
        <f ca="1">IF(J141="","",(VLOOKUP($D141,master_food_list,'Master Food List'!T$91,FALSE)))</f>
        <v>150</v>
      </c>
    </row>
    <row r="142" spans="1:11" customFormat="1" ht="51" x14ac:dyDescent="0.2">
      <c r="A142" s="286">
        <v>19</v>
      </c>
      <c r="B142" s="287" t="s">
        <v>210</v>
      </c>
      <c r="C142" s="287" t="s">
        <v>458</v>
      </c>
      <c r="D142" s="288" t="s">
        <v>436</v>
      </c>
      <c r="E142" s="293">
        <f ca="1">IF(D142="","",(VLOOKUP($D142,master_food_list,'Master Food List'!N$91,FALSE)))</f>
        <v>620</v>
      </c>
      <c r="F142" s="293">
        <f ca="1">IF(E142="","",(VLOOKUP($D142,master_food_list,'Master Food List'!O$91,FALSE)))</f>
        <v>144</v>
      </c>
      <c r="G142" s="293">
        <f ca="1">IF(F142="","",(VLOOKUP($D142,master_food_list,'Master Food List'!P$91,FALSE)))</f>
        <v>28</v>
      </c>
      <c r="H142" s="293">
        <f ca="1">IF(G142="","",(VLOOKUP($D142,master_food_list,'Master Food List'!Q$91,FALSE)))</f>
        <v>7</v>
      </c>
      <c r="I142" s="293">
        <f ca="1">IF(H142="","",(VLOOKUP($D142,master_food_list,'Master Food List'!R$91,FALSE)))</f>
        <v>1160</v>
      </c>
      <c r="J142" s="293">
        <f ca="1">IF(I142="","",(VLOOKUP($D142,master_food_list,'Master Food List'!S$91,FALSE)))</f>
        <v>0</v>
      </c>
      <c r="K142" s="293">
        <f ca="1">IF(J142="","",(VLOOKUP($D142,master_food_list,'Master Food List'!T$91,FALSE)))</f>
        <v>103.33333333333333</v>
      </c>
    </row>
    <row r="143" spans="1:11" customFormat="1" ht="51" x14ac:dyDescent="0.2">
      <c r="A143" s="286">
        <v>19</v>
      </c>
      <c r="B143" s="287" t="s">
        <v>210</v>
      </c>
      <c r="C143" s="287" t="s">
        <v>457</v>
      </c>
      <c r="D143" s="288" t="s">
        <v>479</v>
      </c>
      <c r="E143" s="293">
        <f ca="1">IF(D143="","",(VLOOKUP($D143,master_food_list,'Master Food List'!N$91,FALSE)))</f>
        <v>300</v>
      </c>
      <c r="F143" s="293">
        <f ca="1">IF(E143="","",(VLOOKUP($D143,master_food_list,'Master Food List'!O$91,FALSE)))</f>
        <v>10.5</v>
      </c>
      <c r="G143" s="293">
        <f ca="1">IF(F143="","",(VLOOKUP($D143,master_food_list,'Master Food List'!P$91,FALSE)))</f>
        <v>10.5</v>
      </c>
      <c r="H143" s="293">
        <f ca="1">IF(G143="","",(VLOOKUP($D143,master_food_list,'Master Food List'!Q$91,FALSE)))</f>
        <v>25.5</v>
      </c>
      <c r="I143" s="293">
        <f ca="1">IF(H143="","",(VLOOKUP($D143,master_food_list,'Master Food List'!R$91,FALSE)))</f>
        <v>150</v>
      </c>
      <c r="J143" s="293">
        <f ca="1">IF(I143="","",(VLOOKUP($D143,master_food_list,'Master Food List'!S$91,FALSE)))</f>
        <v>0</v>
      </c>
      <c r="K143" s="293">
        <f ca="1">IF(J143="","",(VLOOKUP($D143,master_food_list,'Master Food List'!T$91,FALSE)))</f>
        <v>177.77777777777777</v>
      </c>
    </row>
    <row r="144" spans="1:11" customFormat="1" ht="51" x14ac:dyDescent="0.2">
      <c r="A144" s="286">
        <v>19</v>
      </c>
      <c r="B144" s="287" t="s">
        <v>210</v>
      </c>
      <c r="C144" s="287" t="s">
        <v>455</v>
      </c>
      <c r="D144" s="288" t="s">
        <v>482</v>
      </c>
      <c r="E144" s="293">
        <f ca="1">IF(D144="","",(VLOOKUP($D144,master_food_list,'Master Food List'!N$91,FALSE)))</f>
        <v>110</v>
      </c>
      <c r="F144" s="293">
        <f ca="1">IF(E144="","",(VLOOKUP($D144,master_food_list,'Master Food List'!O$91,FALSE)))</f>
        <v>21</v>
      </c>
      <c r="G144" s="293">
        <f ca="1">IF(F144="","",(VLOOKUP($D144,master_food_list,'Master Food List'!P$91,FALSE)))</f>
        <v>1</v>
      </c>
      <c r="H144" s="293">
        <f ca="1">IF(G144="","",(VLOOKUP($D144,master_food_list,'Master Food List'!Q$91,FALSE)))</f>
        <v>2</v>
      </c>
      <c r="I144" s="293">
        <f ca="1">IF(H144="","",(VLOOKUP($D144,master_food_list,'Master Food List'!R$91,FALSE)))</f>
        <v>150</v>
      </c>
      <c r="J144" s="293">
        <f ca="1">IF(I144="","",(VLOOKUP($D144,master_food_list,'Master Food List'!S$91,FALSE)))</f>
        <v>0</v>
      </c>
      <c r="K144" s="293">
        <f ca="1">IF(J144="","",(VLOOKUP($D144,master_food_list,'Master Food List'!T$91,FALSE)))</f>
        <v>118.27956989247312</v>
      </c>
    </row>
    <row r="145" spans="1:11" customFormat="1" ht="51" x14ac:dyDescent="0.2">
      <c r="A145" s="286">
        <v>20</v>
      </c>
      <c r="B145" s="287" t="s">
        <v>210</v>
      </c>
      <c r="C145" s="287" t="s">
        <v>462</v>
      </c>
      <c r="D145" s="288" t="s">
        <v>485</v>
      </c>
      <c r="E145" s="293">
        <f ca="1">IF(D145="","",(VLOOKUP($D145,master_food_list,'Master Food List'!N$91,FALSE)))</f>
        <v>500</v>
      </c>
      <c r="F145" s="293">
        <f ca="1">IF(E145="","",(VLOOKUP($D145,master_food_list,'Master Food List'!O$91,FALSE)))</f>
        <v>74</v>
      </c>
      <c r="G145" s="293">
        <f ca="1">IF(F145="","",(VLOOKUP($D145,master_food_list,'Master Food List'!P$91,FALSE)))</f>
        <v>16</v>
      </c>
      <c r="H145" s="293">
        <f ca="1">IF(G145="","",(VLOOKUP($D145,master_food_list,'Master Food List'!Q$91,FALSE)))</f>
        <v>18</v>
      </c>
      <c r="I145" s="293">
        <f ca="1">IF(H145="","",(VLOOKUP($D145,master_food_list,'Master Food List'!R$91,FALSE)))</f>
        <v>130</v>
      </c>
      <c r="J145" s="293">
        <f ca="1">IF(I145="","",(VLOOKUP($D145,master_food_list,'Master Food List'!S$91,FALSE)))</f>
        <v>0</v>
      </c>
      <c r="K145" s="293">
        <f ca="1">IF(J145="","",(VLOOKUP($D145,master_food_list,'Master Food List'!T$91,FALSE)))</f>
        <v>126.55024044545685</v>
      </c>
    </row>
    <row r="146" spans="1:11" customFormat="1" ht="51" x14ac:dyDescent="0.2">
      <c r="A146" s="286">
        <v>20</v>
      </c>
      <c r="B146" s="287" t="s">
        <v>210</v>
      </c>
      <c r="C146" s="287" t="s">
        <v>461</v>
      </c>
      <c r="D146" s="288" t="s">
        <v>333</v>
      </c>
      <c r="E146" s="293">
        <f ca="1">IF(D146="","",(VLOOKUP($D146,master_food_list,'Master Food List'!N$91,FALSE)))</f>
        <v>325</v>
      </c>
      <c r="F146" s="293">
        <f ca="1">IF(E146="","",(VLOOKUP($D146,master_food_list,'Master Food List'!O$91,FALSE)))</f>
        <v>40</v>
      </c>
      <c r="G146" s="293">
        <f ca="1">IF(F146="","",(VLOOKUP($D146,master_food_list,'Master Food List'!P$91,FALSE)))</f>
        <v>2.5</v>
      </c>
      <c r="H146" s="293">
        <f ca="1">IF(G146="","",(VLOOKUP($D146,master_food_list,'Master Food List'!Q$91,FALSE)))</f>
        <v>17.5</v>
      </c>
      <c r="I146" s="293">
        <f ca="1">IF(H146="","",(VLOOKUP($D146,master_food_list,'Master Food List'!R$91,FALSE)))</f>
        <v>25</v>
      </c>
      <c r="J146" s="293">
        <f ca="1">IF(I146="","",(VLOOKUP($D146,master_food_list,'Master Food List'!S$91,FALSE)))</f>
        <v>0</v>
      </c>
      <c r="K146" s="293">
        <f ca="1">IF(J146="","",(VLOOKUP($D146,master_food_list,'Master Food List'!T$91,FALSE)))</f>
        <v>156.25</v>
      </c>
    </row>
    <row r="147" spans="1:11" customFormat="1" ht="51" x14ac:dyDescent="0.2">
      <c r="A147" s="286">
        <v>20</v>
      </c>
      <c r="B147" s="287" t="s">
        <v>210</v>
      </c>
      <c r="C147" s="287" t="s">
        <v>460</v>
      </c>
      <c r="D147" s="288"/>
      <c r="E147" s="293" t="str">
        <f>IF(D147="","",(VLOOKUP($D147,master_food_list,'Master Food List'!N$91,FALSE)))</f>
        <v/>
      </c>
      <c r="F147" s="293" t="str">
        <f>IF(E147="","",(VLOOKUP($D147,master_food_list,'Master Food List'!O$91,FALSE)))</f>
        <v/>
      </c>
      <c r="G147" s="293" t="str">
        <f>IF(F147="","",(VLOOKUP($D147,master_food_list,'Master Food List'!P$91,FALSE)))</f>
        <v/>
      </c>
      <c r="H147" s="293" t="str">
        <f>IF(G147="","",(VLOOKUP($D147,master_food_list,'Master Food List'!Q$91,FALSE)))</f>
        <v/>
      </c>
      <c r="I147" s="293" t="str">
        <f>IF(H147="","",(VLOOKUP($D147,master_food_list,'Master Food List'!R$91,FALSE)))</f>
        <v/>
      </c>
      <c r="J147" s="293" t="str">
        <f>IF(I147="","",(VLOOKUP($D147,master_food_list,'Master Food List'!S$91,FALSE)))</f>
        <v/>
      </c>
      <c r="K147" s="293" t="str">
        <f>IF(J147="","",(VLOOKUP($D147,master_food_list,'Master Food List'!T$91,FALSE)))</f>
        <v/>
      </c>
    </row>
    <row r="148" spans="1:11" customFormat="1" ht="51" x14ac:dyDescent="0.2">
      <c r="A148" s="286">
        <v>20</v>
      </c>
      <c r="B148" s="287" t="s">
        <v>210</v>
      </c>
      <c r="C148" s="287" t="s">
        <v>459</v>
      </c>
      <c r="D148" s="288" t="s">
        <v>347</v>
      </c>
      <c r="E148" s="293">
        <f ca="1">IF(D148="","",(VLOOKUP($D148,master_food_list,'Master Food List'!N$91,FALSE)))</f>
        <v>665</v>
      </c>
      <c r="F148" s="293">
        <f ca="1">IF(E148="","",(VLOOKUP($D148,master_food_list,'Master Food List'!O$91,FALSE)))</f>
        <v>0</v>
      </c>
      <c r="G148" s="293">
        <f ca="1">IF(F148="","",(VLOOKUP($D148,master_food_list,'Master Food List'!P$91,FALSE)))</f>
        <v>35</v>
      </c>
      <c r="H148" s="293">
        <f ca="1">IF(G148="","",(VLOOKUP($D148,master_food_list,'Master Food List'!Q$91,FALSE)))</f>
        <v>56</v>
      </c>
      <c r="I148" s="293">
        <f ca="1">IF(H148="","",(VLOOKUP($D148,master_food_list,'Master Food List'!R$91,FALSE)))</f>
        <v>2415</v>
      </c>
      <c r="J148" s="293">
        <f ca="1">IF(I148="","",(VLOOKUP($D148,master_food_list,'Master Food List'!S$91,FALSE)))</f>
        <v>0</v>
      </c>
      <c r="K148" s="293">
        <f ca="1">IF(J148="","",(VLOOKUP($D148,master_food_list,'Master Food List'!T$91,FALSE)))</f>
        <v>180.70652173913044</v>
      </c>
    </row>
    <row r="149" spans="1:11" customFormat="1" ht="51" x14ac:dyDescent="0.2">
      <c r="A149" s="286">
        <v>20</v>
      </c>
      <c r="B149" s="287" t="s">
        <v>210</v>
      </c>
      <c r="C149" s="287" t="s">
        <v>458</v>
      </c>
      <c r="D149" s="288" t="s">
        <v>442</v>
      </c>
      <c r="E149" s="293">
        <f ca="1">IF(D149="","",(VLOOKUP($D149,master_food_list,'Master Food List'!N$91,FALSE)))</f>
        <v>600</v>
      </c>
      <c r="F149" s="293">
        <f ca="1">IF(E149="","",(VLOOKUP($D149,master_food_list,'Master Food List'!O$91,FALSE)))</f>
        <v>160</v>
      </c>
      <c r="G149" s="293">
        <f ca="1">IF(F149="","",(VLOOKUP($D149,master_food_list,'Master Food List'!P$91,FALSE)))</f>
        <v>22</v>
      </c>
      <c r="H149" s="293">
        <f ca="1">IF(G149="","",(VLOOKUP($D149,master_food_list,'Master Food List'!Q$91,FALSE)))</f>
        <v>3</v>
      </c>
      <c r="I149" s="293">
        <f ca="1">IF(H149="","",(VLOOKUP($D149,master_food_list,'Master Food List'!R$91,FALSE)))</f>
        <v>960</v>
      </c>
      <c r="J149" s="293">
        <f ca="1">IF(I149="","",(VLOOKUP($D149,master_food_list,'Master Food List'!S$91,FALSE)))</f>
        <v>0</v>
      </c>
      <c r="K149" s="293">
        <f ca="1">IF(J149="","",(VLOOKUP($D149,master_food_list,'Master Food List'!T$91,FALSE)))</f>
        <v>104.34782608695652</v>
      </c>
    </row>
    <row r="150" spans="1:11" customFormat="1" ht="51" x14ac:dyDescent="0.2">
      <c r="A150" s="286">
        <v>20</v>
      </c>
      <c r="B150" s="287" t="s">
        <v>210</v>
      </c>
      <c r="C150" s="287" t="s">
        <v>457</v>
      </c>
      <c r="D150" s="288" t="s">
        <v>479</v>
      </c>
      <c r="E150" s="293">
        <f ca="1">IF(D150="","",(VLOOKUP($D150,master_food_list,'Master Food List'!N$91,FALSE)))</f>
        <v>300</v>
      </c>
      <c r="F150" s="293">
        <f ca="1">IF(E150="","",(VLOOKUP($D150,master_food_list,'Master Food List'!O$91,FALSE)))</f>
        <v>10.5</v>
      </c>
      <c r="G150" s="293">
        <f ca="1">IF(F150="","",(VLOOKUP($D150,master_food_list,'Master Food List'!P$91,FALSE)))</f>
        <v>10.5</v>
      </c>
      <c r="H150" s="293">
        <f ca="1">IF(G150="","",(VLOOKUP($D150,master_food_list,'Master Food List'!Q$91,FALSE)))</f>
        <v>25.5</v>
      </c>
      <c r="I150" s="293">
        <f ca="1">IF(H150="","",(VLOOKUP($D150,master_food_list,'Master Food List'!R$91,FALSE)))</f>
        <v>150</v>
      </c>
      <c r="J150" s="293">
        <f ca="1">IF(I150="","",(VLOOKUP($D150,master_food_list,'Master Food List'!S$91,FALSE)))</f>
        <v>0</v>
      </c>
      <c r="K150" s="293">
        <f ca="1">IF(J150="","",(VLOOKUP($D150,master_food_list,'Master Food List'!T$91,FALSE)))</f>
        <v>177.77777777777777</v>
      </c>
    </row>
    <row r="151" spans="1:11" customFormat="1" ht="51" x14ac:dyDescent="0.2">
      <c r="A151" s="286">
        <v>20</v>
      </c>
      <c r="B151" s="287" t="s">
        <v>210</v>
      </c>
      <c r="C151" s="287" t="s">
        <v>455</v>
      </c>
      <c r="D151" s="288" t="s">
        <v>313</v>
      </c>
      <c r="E151" s="293">
        <f ca="1">IF(D151="","",(VLOOKUP($D151,master_food_list,'Master Food List'!N$91,FALSE)))</f>
        <v>170</v>
      </c>
      <c r="F151" s="293">
        <f ca="1">IF(E151="","",(VLOOKUP($D151,master_food_list,'Master Food List'!O$91,FALSE)))</f>
        <v>28</v>
      </c>
      <c r="G151" s="293">
        <f ca="1">IF(F151="","",(VLOOKUP($D151,master_food_list,'Master Food List'!P$91,FALSE)))</f>
        <v>2</v>
      </c>
      <c r="H151" s="293">
        <f ca="1">IF(G151="","",(VLOOKUP($D151,master_food_list,'Master Food List'!Q$91,FALSE)))</f>
        <v>6</v>
      </c>
      <c r="I151" s="293">
        <f ca="1">IF(H151="","",(VLOOKUP($D151,master_food_list,'Master Food List'!R$91,FALSE)))</f>
        <v>135</v>
      </c>
      <c r="J151" s="293">
        <f ca="1">IF(I151="","",(VLOOKUP($D151,master_food_list,'Master Food List'!S$91,FALSE)))</f>
        <v>0</v>
      </c>
      <c r="K151" s="293">
        <f ca="1">IF(J151="","",(VLOOKUP($D151,master_food_list,'Master Food List'!T$91,FALSE)))</f>
        <v>150.44247787610621</v>
      </c>
    </row>
    <row r="152" spans="1:11" s="190" customFormat="1" ht="51" x14ac:dyDescent="0.2">
      <c r="A152" s="278">
        <v>21</v>
      </c>
      <c r="B152" s="279" t="s">
        <v>456</v>
      </c>
      <c r="C152" s="279" t="s">
        <v>462</v>
      </c>
      <c r="D152" s="280" t="s">
        <v>498</v>
      </c>
      <c r="E152" s="291">
        <f ca="1">IF(D152="","",(VLOOKUP($D152,master_food_list,'Master Food List'!N$91,FALSE)))</f>
        <v>1020</v>
      </c>
      <c r="F152" s="291">
        <f ca="1">IF(E152="","",(VLOOKUP($D152,master_food_list,'Master Food List'!O$91,FALSE)))</f>
        <v>96</v>
      </c>
      <c r="G152" s="291">
        <f ca="1">IF(F152="","",(VLOOKUP($D152,master_food_list,'Master Food List'!P$91,FALSE)))</f>
        <v>34</v>
      </c>
      <c r="H152" s="291">
        <f ca="1">IF(G152="","",(VLOOKUP($D152,master_food_list,'Master Food List'!Q$91,FALSE)))</f>
        <v>53</v>
      </c>
      <c r="I152" s="291">
        <f ca="1">IF(H152="","",(VLOOKUP($D152,master_food_list,'Master Food List'!R$91,FALSE)))</f>
        <v>2460</v>
      </c>
      <c r="J152" s="291">
        <f ca="1">IF(I152="","",(VLOOKUP($D152,master_food_list,'Master Food List'!S$91,FALSE)))</f>
        <v>0</v>
      </c>
      <c r="K152" s="291">
        <f ca="1">IF(J152="","",(VLOOKUP($D152,master_food_list,'Master Food List'!T$91,FALSE)))</f>
        <v>0</v>
      </c>
    </row>
    <row r="153" spans="1:11" s="190" customFormat="1" ht="51" x14ac:dyDescent="0.2">
      <c r="A153" s="278">
        <v>21</v>
      </c>
      <c r="B153" s="279" t="s">
        <v>456</v>
      </c>
      <c r="C153" s="279" t="s">
        <v>461</v>
      </c>
      <c r="D153" s="280" t="s">
        <v>481</v>
      </c>
      <c r="E153" s="291">
        <f ca="1">IF(D153="","",(VLOOKUP($D153,master_food_list,'Master Food List'!N$91,FALSE)))</f>
        <v>400</v>
      </c>
      <c r="F153" s="291">
        <f ca="1">IF(E153="","",(VLOOKUP($D153,master_food_list,'Master Food List'!O$91,FALSE)))</f>
        <v>72</v>
      </c>
      <c r="G153" s="291">
        <f ca="1">IF(F153="","",(VLOOKUP($D153,master_food_list,'Master Food List'!P$91,FALSE)))</f>
        <v>6</v>
      </c>
      <c r="H153" s="291">
        <f ca="1">IF(G153="","",(VLOOKUP($D153,master_food_list,'Master Food List'!Q$91,FALSE)))</f>
        <v>10</v>
      </c>
      <c r="I153" s="291">
        <f ca="1">IF(H153="","",(VLOOKUP($D153,master_food_list,'Master Food List'!R$91,FALSE)))</f>
        <v>420</v>
      </c>
      <c r="J153" s="291">
        <f ca="1">IF(I153="","",(VLOOKUP($D153,master_food_list,'Master Food List'!S$91,FALSE)))</f>
        <v>0</v>
      </c>
      <c r="K153" s="291">
        <f ca="1">IF(J153="","",(VLOOKUP($D153,master_food_list,'Master Food List'!T$91,FALSE)))</f>
        <v>109.09090909090909</v>
      </c>
    </row>
    <row r="154" spans="1:11" s="190" customFormat="1" ht="51" x14ac:dyDescent="0.2">
      <c r="A154" s="278">
        <v>21</v>
      </c>
      <c r="B154" s="279" t="s">
        <v>456</v>
      </c>
      <c r="C154" s="279" t="s">
        <v>460</v>
      </c>
      <c r="D154" s="280" t="s">
        <v>495</v>
      </c>
      <c r="E154" s="291">
        <f ca="1">IF(D154="","",(VLOOKUP($D154,master_food_list,'Master Food List'!N$91,FALSE)))</f>
        <v>122</v>
      </c>
      <c r="F154" s="291">
        <f ca="1">IF(E154="","",(VLOOKUP($D154,master_food_list,'Master Food List'!O$91,FALSE)))</f>
        <v>18</v>
      </c>
      <c r="G154" s="291">
        <f ca="1">IF(F154="","",(VLOOKUP($D154,master_food_list,'Master Food List'!P$91,FALSE)))</f>
        <v>9</v>
      </c>
      <c r="H154" s="291">
        <f ca="1">IF(G154="","",(VLOOKUP($D154,master_food_list,'Master Food List'!Q$91,FALSE)))</f>
        <v>7.5</v>
      </c>
      <c r="I154" s="291">
        <f ca="1">IF(H154="","",(VLOOKUP($D154,master_food_list,'Master Food List'!R$91,FALSE)))</f>
        <v>105</v>
      </c>
      <c r="J154" s="291">
        <f ca="1">IF(I154="","",(VLOOKUP($D154,master_food_list,'Master Food List'!S$91,FALSE)))</f>
        <v>0</v>
      </c>
      <c r="K154" s="291">
        <f ca="1">IF(J154="","",(VLOOKUP($D154,master_food_list,'Master Food List'!T$91,FALSE)))</f>
        <v>0</v>
      </c>
    </row>
    <row r="155" spans="1:11" s="190" customFormat="1" ht="51" x14ac:dyDescent="0.2">
      <c r="A155" s="278">
        <v>21</v>
      </c>
      <c r="B155" s="279" t="s">
        <v>456</v>
      </c>
      <c r="C155" s="279" t="s">
        <v>459</v>
      </c>
      <c r="D155" s="280" t="s">
        <v>347</v>
      </c>
      <c r="E155" s="291">
        <f ca="1">IF(D155="","",(VLOOKUP($D155,master_food_list,'Master Food List'!N$91,FALSE)))</f>
        <v>665</v>
      </c>
      <c r="F155" s="291">
        <f ca="1">IF(E155="","",(VLOOKUP($D155,master_food_list,'Master Food List'!O$91,FALSE)))</f>
        <v>0</v>
      </c>
      <c r="G155" s="291">
        <f ca="1">IF(F155="","",(VLOOKUP($D155,master_food_list,'Master Food List'!P$91,FALSE)))</f>
        <v>35</v>
      </c>
      <c r="H155" s="291">
        <f ca="1">IF(G155="","",(VLOOKUP($D155,master_food_list,'Master Food List'!Q$91,FALSE)))</f>
        <v>56</v>
      </c>
      <c r="I155" s="291">
        <f ca="1">IF(H155="","",(VLOOKUP($D155,master_food_list,'Master Food List'!R$91,FALSE)))</f>
        <v>2415</v>
      </c>
      <c r="J155" s="291">
        <f ca="1">IF(I155="","",(VLOOKUP($D155,master_food_list,'Master Food List'!S$91,FALSE)))</f>
        <v>0</v>
      </c>
      <c r="K155" s="291">
        <f ca="1">IF(J155="","",(VLOOKUP($D155,master_food_list,'Master Food List'!T$91,FALSE)))</f>
        <v>180.70652173913044</v>
      </c>
    </row>
    <row r="156" spans="1:11" s="190" customFormat="1" ht="51" x14ac:dyDescent="0.2">
      <c r="A156" s="278">
        <v>21</v>
      </c>
      <c r="B156" s="279" t="s">
        <v>456</v>
      </c>
      <c r="C156" s="279" t="s">
        <v>458</v>
      </c>
      <c r="D156" s="280" t="s">
        <v>519</v>
      </c>
      <c r="E156" s="291">
        <f ca="1">IF(D156="","",(VLOOKUP($D156,master_food_list,'Master Food List'!N$91,FALSE)))</f>
        <v>380</v>
      </c>
      <c r="F156" s="291">
        <f ca="1">IF(E156="","",(VLOOKUP($D156,master_food_list,'Master Food List'!O$91,FALSE)))</f>
        <v>66</v>
      </c>
      <c r="G156" s="291">
        <f ca="1">IF(F156="","",(VLOOKUP($D156,master_food_list,'Master Food List'!P$91,FALSE)))</f>
        <v>8</v>
      </c>
      <c r="H156" s="291">
        <f ca="1">IF(G156="","",(VLOOKUP($D156,master_food_list,'Master Food List'!Q$91,FALSE)))</f>
        <v>10</v>
      </c>
      <c r="I156" s="291">
        <f ca="1">IF(H156="","",(VLOOKUP($D156,master_food_list,'Master Food List'!R$91,FALSE)))</f>
        <v>500</v>
      </c>
      <c r="J156" s="291">
        <f ca="1">IF(I156="","",(VLOOKUP($D156,master_food_list,'Master Food List'!S$91,FALSE)))</f>
        <v>0</v>
      </c>
      <c r="K156" s="291">
        <f ca="1">IF(J156="","",(VLOOKUP($D156,master_food_list,'Master Food List'!T$91,FALSE)))</f>
        <v>118.75</v>
      </c>
    </row>
    <row r="157" spans="1:11" s="190" customFormat="1" ht="51" x14ac:dyDescent="0.2">
      <c r="A157" s="278">
        <v>21</v>
      </c>
      <c r="B157" s="279" t="s">
        <v>456</v>
      </c>
      <c r="C157" s="279" t="s">
        <v>457</v>
      </c>
      <c r="D157" s="280"/>
      <c r="E157" s="291" t="str">
        <f>IF(D157="","",(VLOOKUP($D157,master_food_list,'Master Food List'!N$91,FALSE)))</f>
        <v/>
      </c>
      <c r="F157" s="291" t="str">
        <f>IF(E157="","",(VLOOKUP($D157,master_food_list,'Master Food List'!O$91,FALSE)))</f>
        <v/>
      </c>
      <c r="G157" s="291" t="str">
        <f>IF(F157="","",(VLOOKUP($D157,master_food_list,'Master Food List'!P$91,FALSE)))</f>
        <v/>
      </c>
      <c r="H157" s="291" t="str">
        <f>IF(G157="","",(VLOOKUP($D157,master_food_list,'Master Food List'!Q$91,FALSE)))</f>
        <v/>
      </c>
      <c r="I157" s="291" t="str">
        <f>IF(H157="","",(VLOOKUP($D157,master_food_list,'Master Food List'!R$91,FALSE)))</f>
        <v/>
      </c>
      <c r="J157" s="291" t="str">
        <f>IF(I157="","",(VLOOKUP($D157,master_food_list,'Master Food List'!S$91,FALSE)))</f>
        <v/>
      </c>
      <c r="K157" s="291" t="str">
        <f>IF(J157="","",(VLOOKUP($D157,master_food_list,'Master Food List'!T$91,FALSE)))</f>
        <v/>
      </c>
    </row>
    <row r="158" spans="1:11" s="190" customFormat="1" ht="51" x14ac:dyDescent="0.2">
      <c r="A158" s="278">
        <v>21</v>
      </c>
      <c r="B158" s="279" t="s">
        <v>456</v>
      </c>
      <c r="C158" s="279" t="s">
        <v>455</v>
      </c>
      <c r="D158" s="280" t="s">
        <v>482</v>
      </c>
      <c r="E158" s="291">
        <f ca="1">IF(D158="","",(VLOOKUP($D158,master_food_list,'Master Food List'!N$91,FALSE)))</f>
        <v>110</v>
      </c>
      <c r="F158" s="291">
        <f ca="1">IF(E158="","",(VLOOKUP($D158,master_food_list,'Master Food List'!O$91,FALSE)))</f>
        <v>21</v>
      </c>
      <c r="G158" s="291">
        <f ca="1">IF(F158="","",(VLOOKUP($D158,master_food_list,'Master Food List'!P$91,FALSE)))</f>
        <v>1</v>
      </c>
      <c r="H158" s="291">
        <f ca="1">IF(G158="","",(VLOOKUP($D158,master_food_list,'Master Food List'!Q$91,FALSE)))</f>
        <v>2</v>
      </c>
      <c r="I158" s="291">
        <f ca="1">IF(H158="","",(VLOOKUP($D158,master_food_list,'Master Food List'!R$91,FALSE)))</f>
        <v>150</v>
      </c>
      <c r="J158" s="291">
        <f ca="1">IF(I158="","",(VLOOKUP($D158,master_food_list,'Master Food List'!S$91,FALSE)))</f>
        <v>0</v>
      </c>
      <c r="K158" s="291">
        <f ca="1">IF(J158="","",(VLOOKUP($D158,master_food_list,'Master Food List'!T$91,FALSE)))</f>
        <v>118.27956989247312</v>
      </c>
    </row>
    <row r="159" spans="1:11" s="190" customFormat="1" ht="51" x14ac:dyDescent="0.2">
      <c r="A159" s="278">
        <v>22</v>
      </c>
      <c r="B159" s="279" t="s">
        <v>456</v>
      </c>
      <c r="C159" s="279" t="s">
        <v>462</v>
      </c>
      <c r="D159" s="280" t="s">
        <v>284</v>
      </c>
      <c r="E159" s="291">
        <f ca="1">IF(D159="","",(VLOOKUP($D159,master_food_list,'Master Food List'!N$91,FALSE)))</f>
        <v>380</v>
      </c>
      <c r="F159" s="291">
        <f ca="1">IF(E159="","",(VLOOKUP($D159,master_food_list,'Master Food List'!O$91,FALSE)))</f>
        <v>70</v>
      </c>
      <c r="G159" s="291">
        <f ca="1">IF(F159="","",(VLOOKUP($D159,master_food_list,'Master Food List'!P$91,FALSE)))</f>
        <v>4</v>
      </c>
      <c r="H159" s="291">
        <f ca="1">IF(G159="","",(VLOOKUP($D159,master_food_list,'Master Food List'!Q$91,FALSE)))</f>
        <v>10</v>
      </c>
      <c r="I159" s="291">
        <f ca="1">IF(H159="","",(VLOOKUP($D159,master_food_list,'Master Food List'!R$91,FALSE)))</f>
        <v>380</v>
      </c>
      <c r="J159" s="291">
        <f ca="1">IF(I159="","",(VLOOKUP($D159,master_food_list,'Master Food List'!S$91,FALSE)))</f>
        <v>0</v>
      </c>
      <c r="K159" s="291">
        <f ca="1">IF(J159="","",(VLOOKUP($D159,master_food_list,'Master Food List'!T$91,FALSE)))</f>
        <v>107.80141843971631</v>
      </c>
    </row>
    <row r="160" spans="1:11" s="190" customFormat="1" ht="51" x14ac:dyDescent="0.2">
      <c r="A160" s="278">
        <v>22</v>
      </c>
      <c r="B160" s="279" t="s">
        <v>456</v>
      </c>
      <c r="C160" s="279" t="s">
        <v>461</v>
      </c>
      <c r="D160" s="280" t="s">
        <v>481</v>
      </c>
      <c r="E160" s="291">
        <f ca="1">IF(D160="","",(VLOOKUP($D160,master_food_list,'Master Food List'!N$91,FALSE)))</f>
        <v>400</v>
      </c>
      <c r="F160" s="291">
        <f ca="1">IF(E160="","",(VLOOKUP($D160,master_food_list,'Master Food List'!O$91,FALSE)))</f>
        <v>72</v>
      </c>
      <c r="G160" s="291">
        <f ca="1">IF(F160="","",(VLOOKUP($D160,master_food_list,'Master Food List'!P$91,FALSE)))</f>
        <v>6</v>
      </c>
      <c r="H160" s="291">
        <f ca="1">IF(G160="","",(VLOOKUP($D160,master_food_list,'Master Food List'!Q$91,FALSE)))</f>
        <v>10</v>
      </c>
      <c r="I160" s="291">
        <f ca="1">IF(H160="","",(VLOOKUP($D160,master_food_list,'Master Food List'!R$91,FALSE)))</f>
        <v>420</v>
      </c>
      <c r="J160" s="291">
        <f ca="1">IF(I160="","",(VLOOKUP($D160,master_food_list,'Master Food List'!S$91,FALSE)))</f>
        <v>0</v>
      </c>
      <c r="K160" s="291">
        <f ca="1">IF(J160="","",(VLOOKUP($D160,master_food_list,'Master Food List'!T$91,FALSE)))</f>
        <v>109.09090909090909</v>
      </c>
    </row>
    <row r="161" spans="1:11" s="190" customFormat="1" ht="51" x14ac:dyDescent="0.2">
      <c r="A161" s="278">
        <v>22</v>
      </c>
      <c r="B161" s="279" t="s">
        <v>456</v>
      </c>
      <c r="C161" s="279" t="s">
        <v>460</v>
      </c>
      <c r="D161" s="280" t="s">
        <v>495</v>
      </c>
      <c r="E161" s="291">
        <f ca="1">IF(D161="","",(VLOOKUP($D161,master_food_list,'Master Food List'!N$91,FALSE)))</f>
        <v>122</v>
      </c>
      <c r="F161" s="291">
        <f ca="1">IF(E161="","",(VLOOKUP($D161,master_food_list,'Master Food List'!O$91,FALSE)))</f>
        <v>18</v>
      </c>
      <c r="G161" s="291">
        <f ca="1">IF(F161="","",(VLOOKUP($D161,master_food_list,'Master Food List'!P$91,FALSE)))</f>
        <v>9</v>
      </c>
      <c r="H161" s="291">
        <f ca="1">IF(G161="","",(VLOOKUP($D161,master_food_list,'Master Food List'!Q$91,FALSE)))</f>
        <v>7.5</v>
      </c>
      <c r="I161" s="291">
        <f ca="1">IF(H161="","",(VLOOKUP($D161,master_food_list,'Master Food List'!R$91,FALSE)))</f>
        <v>105</v>
      </c>
      <c r="J161" s="291">
        <f ca="1">IF(I161="","",(VLOOKUP($D161,master_food_list,'Master Food List'!S$91,FALSE)))</f>
        <v>0</v>
      </c>
      <c r="K161" s="291">
        <f ca="1">IF(J161="","",(VLOOKUP($D161,master_food_list,'Master Food List'!T$91,FALSE)))</f>
        <v>0</v>
      </c>
    </row>
    <row r="162" spans="1:11" s="190" customFormat="1" ht="51" x14ac:dyDescent="0.2">
      <c r="A162" s="278">
        <v>22</v>
      </c>
      <c r="B162" s="279" t="s">
        <v>456</v>
      </c>
      <c r="C162" s="279" t="s">
        <v>459</v>
      </c>
      <c r="D162" s="280" t="s">
        <v>347</v>
      </c>
      <c r="E162" s="291">
        <f ca="1">IF(D162="","",(VLOOKUP($D162,master_food_list,'Master Food List'!N$91,FALSE)))</f>
        <v>665</v>
      </c>
      <c r="F162" s="291">
        <f ca="1">IF(E162="","",(VLOOKUP($D162,master_food_list,'Master Food List'!O$91,FALSE)))</f>
        <v>0</v>
      </c>
      <c r="G162" s="291">
        <f ca="1">IF(F162="","",(VLOOKUP($D162,master_food_list,'Master Food List'!P$91,FALSE)))</f>
        <v>35</v>
      </c>
      <c r="H162" s="291">
        <f ca="1">IF(G162="","",(VLOOKUP($D162,master_food_list,'Master Food List'!Q$91,FALSE)))</f>
        <v>56</v>
      </c>
      <c r="I162" s="291">
        <f ca="1">IF(H162="","",(VLOOKUP($D162,master_food_list,'Master Food List'!R$91,FALSE)))</f>
        <v>2415</v>
      </c>
      <c r="J162" s="291">
        <f ca="1">IF(I162="","",(VLOOKUP($D162,master_food_list,'Master Food List'!S$91,FALSE)))</f>
        <v>0</v>
      </c>
      <c r="K162" s="291">
        <f ca="1">IF(J162="","",(VLOOKUP($D162,master_food_list,'Master Food List'!T$91,FALSE)))</f>
        <v>180.70652173913044</v>
      </c>
    </row>
    <row r="163" spans="1:11" s="190" customFormat="1" ht="51" x14ac:dyDescent="0.2">
      <c r="A163" s="278">
        <v>22</v>
      </c>
      <c r="B163" s="279" t="s">
        <v>456</v>
      </c>
      <c r="C163" s="279" t="s">
        <v>458</v>
      </c>
      <c r="D163" s="280" t="s">
        <v>486</v>
      </c>
      <c r="E163" s="291">
        <f ca="1">IF(D163="","",(VLOOKUP($D163,master_food_list,'Master Food List'!N$91,FALSE)))</f>
        <v>960</v>
      </c>
      <c r="F163" s="291">
        <f ca="1">IF(E163="","",(VLOOKUP($D163,master_food_list,'Master Food List'!O$91,FALSE)))</f>
        <v>178</v>
      </c>
      <c r="G163" s="291">
        <f ca="1">IF(F163="","",(VLOOKUP($D163,master_food_list,'Master Food List'!P$91,FALSE)))</f>
        <v>34</v>
      </c>
      <c r="H163" s="291">
        <f ca="1">IF(G163="","",(VLOOKUP($D163,master_food_list,'Master Food List'!Q$91,FALSE)))</f>
        <v>12</v>
      </c>
      <c r="I163" s="291">
        <f ca="1">IF(H163="","",(VLOOKUP($D163,master_food_list,'Master Food List'!R$91,FALSE)))</f>
        <v>1620</v>
      </c>
      <c r="J163" s="291">
        <f ca="1">IF(I163="","",(VLOOKUP($D163,master_food_list,'Master Food List'!S$91,FALSE)))</f>
        <v>0</v>
      </c>
      <c r="K163" s="291">
        <f ca="1">IF(J163="","",(VLOOKUP($D163,master_food_list,'Master Food List'!T$91,FALSE)))</f>
        <v>109.09090909090908</v>
      </c>
    </row>
    <row r="164" spans="1:11" s="190" customFormat="1" ht="51" x14ac:dyDescent="0.2">
      <c r="A164" s="278">
        <v>22</v>
      </c>
      <c r="B164" s="279" t="s">
        <v>456</v>
      </c>
      <c r="C164" s="279" t="s">
        <v>457</v>
      </c>
      <c r="D164" s="280"/>
      <c r="E164" s="291" t="str">
        <f>IF(D164="","",(VLOOKUP($D164,master_food_list,'Master Food List'!N$91,FALSE)))</f>
        <v/>
      </c>
      <c r="F164" s="291" t="str">
        <f>IF(E164="","",(VLOOKUP($D164,master_food_list,'Master Food List'!O$91,FALSE)))</f>
        <v/>
      </c>
      <c r="G164" s="291" t="str">
        <f>IF(F164="","",(VLOOKUP($D164,master_food_list,'Master Food List'!P$91,FALSE)))</f>
        <v/>
      </c>
      <c r="H164" s="291" t="str">
        <f>IF(G164="","",(VLOOKUP($D164,master_food_list,'Master Food List'!Q$91,FALSE)))</f>
        <v/>
      </c>
      <c r="I164" s="291" t="str">
        <f>IF(H164="","",(VLOOKUP($D164,master_food_list,'Master Food List'!R$91,FALSE)))</f>
        <v/>
      </c>
      <c r="J164" s="291" t="str">
        <f>IF(I164="","",(VLOOKUP($D164,master_food_list,'Master Food List'!S$91,FALSE)))</f>
        <v/>
      </c>
      <c r="K164" s="291" t="str">
        <f>IF(J164="","",(VLOOKUP($D164,master_food_list,'Master Food List'!T$91,FALSE)))</f>
        <v/>
      </c>
    </row>
    <row r="165" spans="1:11" s="190" customFormat="1" ht="51" x14ac:dyDescent="0.2">
      <c r="A165" s="278">
        <v>22</v>
      </c>
      <c r="B165" s="279" t="s">
        <v>456</v>
      </c>
      <c r="C165" s="279" t="s">
        <v>455</v>
      </c>
      <c r="D165" s="280" t="s">
        <v>484</v>
      </c>
      <c r="E165" s="291">
        <f ca="1">IF(D165="","",(VLOOKUP($D165,master_food_list,'Master Food List'!N$91,FALSE)))</f>
        <v>540</v>
      </c>
      <c r="F165" s="291">
        <f ca="1">IF(E165="","",(VLOOKUP($D165,master_food_list,'Master Food List'!O$91,FALSE)))</f>
        <v>72</v>
      </c>
      <c r="G165" s="291">
        <f ca="1">IF(F165="","",(VLOOKUP($D165,master_food_list,'Master Food List'!P$91,FALSE)))</f>
        <v>14</v>
      </c>
      <c r="H165" s="291">
        <f ca="1">IF(G165="","",(VLOOKUP($D165,master_food_list,'Master Food List'!Q$91,FALSE)))</f>
        <v>22</v>
      </c>
      <c r="I165" s="291">
        <f ca="1">IF(H165="","",(VLOOKUP($D165,master_food_list,'Master Food List'!R$91,FALSE)))</f>
        <v>780</v>
      </c>
      <c r="J165" s="291">
        <f ca="1">IF(I165="","",(VLOOKUP($D165,master_food_list,'Master Food List'!S$91,FALSE)))</f>
        <v>0</v>
      </c>
      <c r="K165" s="291">
        <f ca="1">IF(J165="","",(VLOOKUP($D165,master_food_list,'Master Food List'!T$91,FALSE)))</f>
        <v>117.39130434782609</v>
      </c>
    </row>
    <row r="166" spans="1:11" s="189" customFormat="1" ht="51" x14ac:dyDescent="0.2">
      <c r="A166" s="282">
        <v>23</v>
      </c>
      <c r="B166" s="283" t="s">
        <v>456</v>
      </c>
      <c r="C166" s="283" t="s">
        <v>462</v>
      </c>
      <c r="D166" s="284" t="s">
        <v>480</v>
      </c>
      <c r="E166" s="292">
        <f ca="1">IF(D166="","",(VLOOKUP($D166,master_food_list,'Master Food List'!N$91,FALSE)))</f>
        <v>620</v>
      </c>
      <c r="F166" s="292">
        <f ca="1">IF(E166="","",(VLOOKUP($D166,master_food_list,'Master Food List'!O$91,FALSE)))</f>
        <v>74</v>
      </c>
      <c r="G166" s="292">
        <f ca="1">IF(F166="","",(VLOOKUP($D166,master_food_list,'Master Food List'!P$91,FALSE)))</f>
        <v>16</v>
      </c>
      <c r="H166" s="292">
        <f ca="1">IF(G166="","",(VLOOKUP($D166,master_food_list,'Master Food List'!Q$91,FALSE)))</f>
        <v>31</v>
      </c>
      <c r="I166" s="292">
        <f ca="1">IF(H166="","",(VLOOKUP($D166,master_food_list,'Master Food List'!R$91,FALSE)))</f>
        <v>280</v>
      </c>
      <c r="J166" s="292">
        <f ca="1">IF(I166="","",(VLOOKUP($D166,master_food_list,'Master Food List'!S$91,FALSE)))</f>
        <v>0</v>
      </c>
      <c r="K166" s="292">
        <f ca="1">IF(J166="","",(VLOOKUP($D166,master_food_list,'Master Food List'!T$91,FALSE)))</f>
        <v>130.52631578947367</v>
      </c>
    </row>
    <row r="167" spans="1:11" s="189" customFormat="1" ht="51" x14ac:dyDescent="0.2">
      <c r="A167" s="282">
        <v>23</v>
      </c>
      <c r="B167" s="283" t="s">
        <v>456</v>
      </c>
      <c r="C167" s="283" t="s">
        <v>461</v>
      </c>
      <c r="D167" s="284" t="s">
        <v>347</v>
      </c>
      <c r="E167" s="292">
        <f ca="1">IF(D167="","",(VLOOKUP($D167,master_food_list,'Master Food List'!N$91,FALSE)))</f>
        <v>665</v>
      </c>
      <c r="F167" s="292">
        <f ca="1">IF(E167="","",(VLOOKUP($D167,master_food_list,'Master Food List'!O$91,FALSE)))</f>
        <v>0</v>
      </c>
      <c r="G167" s="292">
        <f ca="1">IF(F167="","",(VLOOKUP($D167,master_food_list,'Master Food List'!P$91,FALSE)))</f>
        <v>35</v>
      </c>
      <c r="H167" s="292">
        <f ca="1">IF(G167="","",(VLOOKUP($D167,master_food_list,'Master Food List'!Q$91,FALSE)))</f>
        <v>56</v>
      </c>
      <c r="I167" s="292">
        <f ca="1">IF(H167="","",(VLOOKUP($D167,master_food_list,'Master Food List'!R$91,FALSE)))</f>
        <v>2415</v>
      </c>
      <c r="J167" s="292">
        <f ca="1">IF(I167="","",(VLOOKUP($D167,master_food_list,'Master Food List'!S$91,FALSE)))</f>
        <v>0</v>
      </c>
      <c r="K167" s="292">
        <f ca="1">IF(J167="","",(VLOOKUP($D167,master_food_list,'Master Food List'!T$91,FALSE)))</f>
        <v>180.70652173913044</v>
      </c>
    </row>
    <row r="168" spans="1:11" s="189" customFormat="1" ht="51" x14ac:dyDescent="0.2">
      <c r="A168" s="282">
        <v>23</v>
      </c>
      <c r="B168" s="283" t="s">
        <v>456</v>
      </c>
      <c r="C168" s="283" t="s">
        <v>460</v>
      </c>
      <c r="D168" s="284"/>
      <c r="E168" s="292" t="str">
        <f>IF(D168="","",(VLOOKUP($D168,master_food_list,'Master Food List'!N$91,FALSE)))</f>
        <v/>
      </c>
      <c r="F168" s="292" t="str">
        <f>IF(E168="","",(VLOOKUP($D168,master_food_list,'Master Food List'!O$91,FALSE)))</f>
        <v/>
      </c>
      <c r="G168" s="292" t="str">
        <f>IF(F168="","",(VLOOKUP($D168,master_food_list,'Master Food List'!P$91,FALSE)))</f>
        <v/>
      </c>
      <c r="H168" s="292" t="str">
        <f>IF(G168="","",(VLOOKUP($D168,master_food_list,'Master Food List'!Q$91,FALSE)))</f>
        <v/>
      </c>
      <c r="I168" s="292" t="str">
        <f>IF(H168="","",(VLOOKUP($D168,master_food_list,'Master Food List'!R$91,FALSE)))</f>
        <v/>
      </c>
      <c r="J168" s="292" t="str">
        <f>IF(I168="","",(VLOOKUP($D168,master_food_list,'Master Food List'!S$91,FALSE)))</f>
        <v/>
      </c>
      <c r="K168" s="292" t="str">
        <f>IF(J168="","",(VLOOKUP($D168,master_food_list,'Master Food List'!T$91,FALSE)))</f>
        <v/>
      </c>
    </row>
    <row r="169" spans="1:11" s="189" customFormat="1" ht="51" x14ac:dyDescent="0.2">
      <c r="A169" s="282">
        <v>23</v>
      </c>
      <c r="B169" s="283" t="s">
        <v>456</v>
      </c>
      <c r="C169" s="283" t="s">
        <v>459</v>
      </c>
      <c r="D169" s="284" t="s">
        <v>430</v>
      </c>
      <c r="E169" s="292">
        <f ca="1">IF(D169="","",(VLOOKUP($D169,master_food_list,'Master Food List'!N$91,FALSE)))</f>
        <v>510</v>
      </c>
      <c r="F169" s="292">
        <f ca="1">IF(E169="","",(VLOOKUP($D169,master_food_list,'Master Food List'!O$91,FALSE)))</f>
        <v>42</v>
      </c>
      <c r="G169" s="292">
        <f ca="1">IF(F169="","",(VLOOKUP($D169,master_food_list,'Master Food List'!P$91,FALSE)))</f>
        <v>10.5</v>
      </c>
      <c r="H169" s="292">
        <f ca="1">IF(G169="","",(VLOOKUP($D169,master_food_list,'Master Food List'!Q$91,FALSE)))</f>
        <v>33</v>
      </c>
      <c r="I169" s="292">
        <f ca="1">IF(H169="","",(VLOOKUP($D169,master_food_list,'Master Food List'!R$91,FALSE)))</f>
        <v>75</v>
      </c>
      <c r="J169" s="292">
        <f ca="1">IF(I169="","",(VLOOKUP($D169,master_food_list,'Master Food List'!S$91,FALSE)))</f>
        <v>0</v>
      </c>
      <c r="K169" s="292">
        <f ca="1">IF(J169="","",(VLOOKUP($D169,master_food_list,'Master Food List'!T$91,FALSE)))</f>
        <v>170</v>
      </c>
    </row>
    <row r="170" spans="1:11" s="189" customFormat="1" ht="51" x14ac:dyDescent="0.2">
      <c r="A170" s="282">
        <v>23</v>
      </c>
      <c r="B170" s="283" t="s">
        <v>456</v>
      </c>
      <c r="C170" s="283" t="s">
        <v>458</v>
      </c>
      <c r="D170" s="284" t="s">
        <v>409</v>
      </c>
      <c r="E170" s="292">
        <f ca="1">IF(D170="","",(VLOOKUP($D170,master_food_list,'Master Food List'!N$91,FALSE)))</f>
        <v>480</v>
      </c>
      <c r="F170" s="292">
        <f ca="1">IF(E170="","",(VLOOKUP($D170,master_food_list,'Master Food List'!O$91,FALSE)))</f>
        <v>84</v>
      </c>
      <c r="G170" s="292">
        <f ca="1">IF(F170="","",(VLOOKUP($D170,master_food_list,'Master Food List'!P$91,FALSE)))</f>
        <v>30</v>
      </c>
      <c r="H170" s="292">
        <f ca="1">IF(G170="","",(VLOOKUP($D170,master_food_list,'Master Food List'!Q$91,FALSE)))</f>
        <v>3</v>
      </c>
      <c r="I170" s="292">
        <f ca="1">IF(H170="","",(VLOOKUP($D170,master_food_list,'Master Food List'!R$91,FALSE)))</f>
        <v>1530</v>
      </c>
      <c r="J170" s="292">
        <f ca="1">IF(I170="","",(VLOOKUP($D170,master_food_list,'Master Food List'!S$91,FALSE)))</f>
        <v>0</v>
      </c>
      <c r="K170" s="292">
        <f ca="1">IF(J170="","",(VLOOKUP($D170,master_food_list,'Master Food List'!T$91,FALSE)))</f>
        <v>101.93905817174515</v>
      </c>
    </row>
    <row r="171" spans="1:11" s="189" customFormat="1" ht="51" x14ac:dyDescent="0.2">
      <c r="A171" s="282">
        <v>23</v>
      </c>
      <c r="B171" s="283" t="s">
        <v>456</v>
      </c>
      <c r="C171" s="283" t="s">
        <v>457</v>
      </c>
      <c r="D171" s="284" t="s">
        <v>479</v>
      </c>
      <c r="E171" s="292">
        <f ca="1">IF(D171="","",(VLOOKUP($D171,master_food_list,'Master Food List'!N$91,FALSE)))</f>
        <v>300</v>
      </c>
      <c r="F171" s="292">
        <f ca="1">IF(E171="","",(VLOOKUP($D171,master_food_list,'Master Food List'!O$91,FALSE)))</f>
        <v>10.5</v>
      </c>
      <c r="G171" s="292">
        <f ca="1">IF(F171="","",(VLOOKUP($D171,master_food_list,'Master Food List'!P$91,FALSE)))</f>
        <v>10.5</v>
      </c>
      <c r="H171" s="292">
        <f ca="1">IF(G171="","",(VLOOKUP($D171,master_food_list,'Master Food List'!Q$91,FALSE)))</f>
        <v>25.5</v>
      </c>
      <c r="I171" s="292">
        <f ca="1">IF(H171="","",(VLOOKUP($D171,master_food_list,'Master Food List'!R$91,FALSE)))</f>
        <v>150</v>
      </c>
      <c r="J171" s="292">
        <f ca="1">IF(I171="","",(VLOOKUP($D171,master_food_list,'Master Food List'!S$91,FALSE)))</f>
        <v>0</v>
      </c>
      <c r="K171" s="292">
        <f ca="1">IF(J171="","",(VLOOKUP($D171,master_food_list,'Master Food List'!T$91,FALSE)))</f>
        <v>177.77777777777777</v>
      </c>
    </row>
    <row r="172" spans="1:11" s="189" customFormat="1" ht="51" x14ac:dyDescent="0.2">
      <c r="A172" s="282">
        <v>23</v>
      </c>
      <c r="B172" s="283" t="s">
        <v>456</v>
      </c>
      <c r="C172" s="283" t="s">
        <v>455</v>
      </c>
      <c r="D172" s="284" t="s">
        <v>483</v>
      </c>
      <c r="E172" s="292">
        <f ca="1">IF(D172="","",(VLOOKUP($D172,master_food_list,'Master Food List'!N$91,FALSE)))</f>
        <v>200</v>
      </c>
      <c r="F172" s="292">
        <f ca="1">IF(E172="","",(VLOOKUP($D172,master_food_list,'Master Food List'!O$91,FALSE)))</f>
        <v>31</v>
      </c>
      <c r="G172" s="292">
        <f ca="1">IF(F172="","",(VLOOKUP($D172,master_food_list,'Master Food List'!P$91,FALSE)))</f>
        <v>2</v>
      </c>
      <c r="H172" s="292">
        <f ca="1">IF(G172="","",(VLOOKUP($D172,master_food_list,'Master Food List'!Q$91,FALSE)))</f>
        <v>8</v>
      </c>
      <c r="I172" s="292">
        <f ca="1">IF(H172="","",(VLOOKUP($D172,master_food_list,'Master Food List'!R$91,FALSE)))</f>
        <v>30</v>
      </c>
      <c r="J172" s="292">
        <f ca="1">IF(I172="","",(VLOOKUP($D172,master_food_list,'Master Food List'!S$91,FALSE)))</f>
        <v>0</v>
      </c>
      <c r="K172" s="292">
        <f ca="1">IF(J172="","",(VLOOKUP($D172,master_food_list,'Master Food List'!T$91,FALSE)))</f>
        <v>133.33333333333334</v>
      </c>
    </row>
    <row r="173" spans="1:11" customFormat="1" ht="51" x14ac:dyDescent="0.2">
      <c r="A173" s="286">
        <v>24</v>
      </c>
      <c r="B173" s="287" t="s">
        <v>456</v>
      </c>
      <c r="C173" s="287" t="s">
        <v>462</v>
      </c>
      <c r="D173" s="288" t="s">
        <v>480</v>
      </c>
      <c r="E173" s="293">
        <f ca="1">IF(D173="","",(VLOOKUP($D173,master_food_list,'Master Food List'!N$91,FALSE)))</f>
        <v>620</v>
      </c>
      <c r="F173" s="293">
        <f ca="1">IF(E173="","",(VLOOKUP($D173,master_food_list,'Master Food List'!O$91,FALSE)))</f>
        <v>74</v>
      </c>
      <c r="G173" s="293">
        <f ca="1">IF(F173="","",(VLOOKUP($D173,master_food_list,'Master Food List'!P$91,FALSE)))</f>
        <v>16</v>
      </c>
      <c r="H173" s="293">
        <f ca="1">IF(G173="","",(VLOOKUP($D173,master_food_list,'Master Food List'!Q$91,FALSE)))</f>
        <v>31</v>
      </c>
      <c r="I173" s="293">
        <f ca="1">IF(H173="","",(VLOOKUP($D173,master_food_list,'Master Food List'!R$91,FALSE)))</f>
        <v>280</v>
      </c>
      <c r="J173" s="293">
        <f ca="1">IF(I173="","",(VLOOKUP($D173,master_food_list,'Master Food List'!S$91,FALSE)))</f>
        <v>0</v>
      </c>
      <c r="K173" s="293">
        <f ca="1">IF(J173="","",(VLOOKUP($D173,master_food_list,'Master Food List'!T$91,FALSE)))</f>
        <v>130.52631578947367</v>
      </c>
    </row>
    <row r="174" spans="1:11" customFormat="1" ht="51" x14ac:dyDescent="0.2">
      <c r="A174" s="286">
        <v>24</v>
      </c>
      <c r="B174" s="287" t="s">
        <v>456</v>
      </c>
      <c r="C174" s="287" t="s">
        <v>461</v>
      </c>
      <c r="D174" s="288" t="s">
        <v>427</v>
      </c>
      <c r="E174" s="293">
        <f ca="1">IF(D174="","",(VLOOKUP($D174,master_food_list,'Master Food List'!N$91,FALSE)))</f>
        <v>300</v>
      </c>
      <c r="F174" s="293">
        <f ca="1">IF(E174="","",(VLOOKUP($D174,master_food_list,'Master Food List'!O$91,FALSE)))</f>
        <v>24</v>
      </c>
      <c r="G174" s="293">
        <f ca="1">IF(F174="","",(VLOOKUP($D174,master_food_list,'Master Food List'!P$91,FALSE)))</f>
        <v>8</v>
      </c>
      <c r="H174" s="293">
        <f ca="1">IF(G174="","",(VLOOKUP($D174,master_food_list,'Master Food List'!Q$91,FALSE)))</f>
        <v>20</v>
      </c>
      <c r="I174" s="293">
        <f ca="1">IF(H174="","",(VLOOKUP($D174,master_food_list,'Master Food List'!R$91,FALSE)))</f>
        <v>120</v>
      </c>
      <c r="J174" s="293">
        <f ca="1">IF(I174="","",(VLOOKUP($D174,master_food_list,'Master Food List'!S$91,FALSE)))</f>
        <v>0</v>
      </c>
      <c r="K174" s="293">
        <f ca="1">IF(J174="","",(VLOOKUP($D174,master_food_list,'Master Food List'!T$91,FALSE)))</f>
        <v>150</v>
      </c>
    </row>
    <row r="175" spans="1:11" customFormat="1" ht="51" x14ac:dyDescent="0.2">
      <c r="A175" s="286">
        <v>24</v>
      </c>
      <c r="B175" s="287" t="s">
        <v>456</v>
      </c>
      <c r="C175" s="287" t="s">
        <v>460</v>
      </c>
      <c r="D175" s="288"/>
      <c r="E175" s="293" t="str">
        <f>IF(D175="","",(VLOOKUP($D175,master_food_list,'Master Food List'!N$91,FALSE)))</f>
        <v/>
      </c>
      <c r="F175" s="293" t="str">
        <f>IF(E175="","",(VLOOKUP($D175,master_food_list,'Master Food List'!O$91,FALSE)))</f>
        <v/>
      </c>
      <c r="G175" s="293" t="str">
        <f>IF(F175="","",(VLOOKUP($D175,master_food_list,'Master Food List'!P$91,FALSE)))</f>
        <v/>
      </c>
      <c r="H175" s="293" t="str">
        <f>IF(G175="","",(VLOOKUP($D175,master_food_list,'Master Food List'!Q$91,FALSE)))</f>
        <v/>
      </c>
      <c r="I175" s="293" t="str">
        <f>IF(H175="","",(VLOOKUP($D175,master_food_list,'Master Food List'!R$91,FALSE)))</f>
        <v/>
      </c>
      <c r="J175" s="293" t="str">
        <f>IF(I175="","",(VLOOKUP($D175,master_food_list,'Master Food List'!S$91,FALSE)))</f>
        <v/>
      </c>
      <c r="K175" s="293" t="str">
        <f>IF(J175="","",(VLOOKUP($D175,master_food_list,'Master Food List'!T$91,FALSE)))</f>
        <v/>
      </c>
    </row>
    <row r="176" spans="1:11" customFormat="1" ht="51" x14ac:dyDescent="0.2">
      <c r="A176" s="286">
        <v>24</v>
      </c>
      <c r="B176" s="287" t="s">
        <v>456</v>
      </c>
      <c r="C176" s="287" t="s">
        <v>459</v>
      </c>
      <c r="D176" s="288" t="s">
        <v>414</v>
      </c>
      <c r="E176" s="293">
        <f ca="1">IF(D176="","",(VLOOKUP($D176,master_food_list,'Master Food List'!N$91,FALSE)))</f>
        <v>250</v>
      </c>
      <c r="F176" s="293">
        <f ca="1">IF(E176="","",(VLOOKUP($D176,master_food_list,'Master Food List'!O$91,FALSE)))</f>
        <v>33</v>
      </c>
      <c r="G176" s="293">
        <f ca="1">IF(F176="","",(VLOOKUP($D176,master_food_list,'Master Food List'!P$91,FALSE)))</f>
        <v>4</v>
      </c>
      <c r="H176" s="293">
        <f ca="1">IF(G176="","",(VLOOKUP($D176,master_food_list,'Master Food List'!Q$91,FALSE)))</f>
        <v>12</v>
      </c>
      <c r="I176" s="293">
        <f ca="1">IF(H176="","",(VLOOKUP($D176,master_food_list,'Master Food List'!R$91,FALSE)))</f>
        <v>120</v>
      </c>
      <c r="J176" s="293">
        <f ca="1">IF(I176="","",(VLOOKUP($D176,master_food_list,'Master Food List'!S$91,FALSE)))</f>
        <v>0</v>
      </c>
      <c r="K176" s="293">
        <f ca="1">IF(J176="","",(VLOOKUP($D176,master_food_list,'Master Food List'!T$91,FALSE)))</f>
        <v>134.40860215053763</v>
      </c>
    </row>
    <row r="177" spans="1:11" customFormat="1" ht="51" x14ac:dyDescent="0.2">
      <c r="A177" s="286">
        <v>24</v>
      </c>
      <c r="B177" s="287" t="s">
        <v>456</v>
      </c>
      <c r="C177" s="287" t="s">
        <v>458</v>
      </c>
      <c r="D177" s="288" t="s">
        <v>491</v>
      </c>
      <c r="E177" s="293">
        <f ca="1">IF(D177="","",(VLOOKUP($D177,master_food_list,'Master Food List'!N$91,FALSE)))</f>
        <v>420</v>
      </c>
      <c r="F177" s="293">
        <f ca="1">IF(E177="","",(VLOOKUP($D177,master_food_list,'Master Food List'!O$91,FALSE)))</f>
        <v>44</v>
      </c>
      <c r="G177" s="293">
        <f ca="1">IF(F177="","",(VLOOKUP($D177,master_food_list,'Master Food List'!P$91,FALSE)))</f>
        <v>44</v>
      </c>
      <c r="H177" s="293">
        <f ca="1">IF(G177="","",(VLOOKUP($D177,master_food_list,'Master Food List'!Q$91,FALSE)))</f>
        <v>7</v>
      </c>
      <c r="I177" s="293">
        <f ca="1">IF(H177="","",(VLOOKUP($D177,master_food_list,'Master Food List'!R$91,FALSE)))</f>
        <v>1620</v>
      </c>
      <c r="J177" s="293">
        <f ca="1">IF(I177="","",(VLOOKUP($D177,master_food_list,'Master Food List'!S$91,FALSE)))</f>
        <v>0</v>
      </c>
      <c r="K177" s="293">
        <f ca="1">IF(J177="","",(VLOOKUP($D177,master_food_list,'Master Food List'!T$91,FALSE)))</f>
        <v>113.5135135135135</v>
      </c>
    </row>
    <row r="178" spans="1:11" customFormat="1" ht="51" x14ac:dyDescent="0.2">
      <c r="A178" s="286">
        <v>24</v>
      </c>
      <c r="B178" s="287" t="s">
        <v>456</v>
      </c>
      <c r="C178" s="287" t="s">
        <v>457</v>
      </c>
      <c r="D178" s="288" t="s">
        <v>479</v>
      </c>
      <c r="E178" s="293">
        <f ca="1">IF(D178="","",(VLOOKUP($D178,master_food_list,'Master Food List'!N$91,FALSE)))</f>
        <v>300</v>
      </c>
      <c r="F178" s="293">
        <f ca="1">IF(E178="","",(VLOOKUP($D178,master_food_list,'Master Food List'!O$91,FALSE)))</f>
        <v>10.5</v>
      </c>
      <c r="G178" s="293">
        <f ca="1">IF(F178="","",(VLOOKUP($D178,master_food_list,'Master Food List'!P$91,FALSE)))</f>
        <v>10.5</v>
      </c>
      <c r="H178" s="293">
        <f ca="1">IF(G178="","",(VLOOKUP($D178,master_food_list,'Master Food List'!Q$91,FALSE)))</f>
        <v>25.5</v>
      </c>
      <c r="I178" s="293">
        <f ca="1">IF(H178="","",(VLOOKUP($D178,master_food_list,'Master Food List'!R$91,FALSE)))</f>
        <v>150</v>
      </c>
      <c r="J178" s="293">
        <f ca="1">IF(I178="","",(VLOOKUP($D178,master_food_list,'Master Food List'!S$91,FALSE)))</f>
        <v>0</v>
      </c>
      <c r="K178" s="293">
        <f ca="1">IF(J178="","",(VLOOKUP($D178,master_food_list,'Master Food List'!T$91,FALSE)))</f>
        <v>177.77777777777777</v>
      </c>
    </row>
    <row r="179" spans="1:11" customFormat="1" ht="51" x14ac:dyDescent="0.2">
      <c r="A179" s="286">
        <v>24</v>
      </c>
      <c r="B179" s="287" t="s">
        <v>456</v>
      </c>
      <c r="C179" s="287" t="s">
        <v>455</v>
      </c>
      <c r="D179" s="288" t="s">
        <v>482</v>
      </c>
      <c r="E179" s="293">
        <f ca="1">IF(D179="","",(VLOOKUP($D179,master_food_list,'Master Food List'!N$91,FALSE)))</f>
        <v>110</v>
      </c>
      <c r="F179" s="293">
        <f ca="1">IF(E179="","",(VLOOKUP($D179,master_food_list,'Master Food List'!O$91,FALSE)))</f>
        <v>21</v>
      </c>
      <c r="G179" s="293">
        <f ca="1">IF(F179="","",(VLOOKUP($D179,master_food_list,'Master Food List'!P$91,FALSE)))</f>
        <v>1</v>
      </c>
      <c r="H179" s="293">
        <f ca="1">IF(G179="","",(VLOOKUP($D179,master_food_list,'Master Food List'!Q$91,FALSE)))</f>
        <v>2</v>
      </c>
      <c r="I179" s="293">
        <f ca="1">IF(H179="","",(VLOOKUP($D179,master_food_list,'Master Food List'!R$91,FALSE)))</f>
        <v>150</v>
      </c>
      <c r="J179" s="293">
        <f ca="1">IF(I179="","",(VLOOKUP($D179,master_food_list,'Master Food List'!S$91,FALSE)))</f>
        <v>0</v>
      </c>
      <c r="K179" s="293">
        <f ca="1">IF(J179="","",(VLOOKUP($D179,master_food_list,'Master Food List'!T$91,FALSE)))</f>
        <v>118.27956989247312</v>
      </c>
    </row>
    <row r="180" spans="1:11" customFormat="1" ht="51" x14ac:dyDescent="0.2">
      <c r="A180" s="286">
        <v>25</v>
      </c>
      <c r="B180" s="287" t="s">
        <v>456</v>
      </c>
      <c r="C180" s="287" t="s">
        <v>462</v>
      </c>
      <c r="D180" s="288" t="s">
        <v>485</v>
      </c>
      <c r="E180" s="293">
        <f ca="1">IF(D180="","",(VLOOKUP($D180,master_food_list,'Master Food List'!N$91,FALSE)))</f>
        <v>500</v>
      </c>
      <c r="F180" s="293">
        <f ca="1">IF(E180="","",(VLOOKUP($D180,master_food_list,'Master Food List'!O$91,FALSE)))</f>
        <v>74</v>
      </c>
      <c r="G180" s="293">
        <f ca="1">IF(F180="","",(VLOOKUP($D180,master_food_list,'Master Food List'!P$91,FALSE)))</f>
        <v>16</v>
      </c>
      <c r="H180" s="293">
        <f ca="1">IF(G180="","",(VLOOKUP($D180,master_food_list,'Master Food List'!Q$91,FALSE)))</f>
        <v>18</v>
      </c>
      <c r="I180" s="293">
        <f ca="1">IF(H180="","",(VLOOKUP($D180,master_food_list,'Master Food List'!R$91,FALSE)))</f>
        <v>130</v>
      </c>
      <c r="J180" s="293">
        <f ca="1">IF(I180="","",(VLOOKUP($D180,master_food_list,'Master Food List'!S$91,FALSE)))</f>
        <v>0</v>
      </c>
      <c r="K180" s="293">
        <f ca="1">IF(J180="","",(VLOOKUP($D180,master_food_list,'Master Food List'!T$91,FALSE)))</f>
        <v>126.55024044545685</v>
      </c>
    </row>
    <row r="181" spans="1:11" customFormat="1" ht="51" x14ac:dyDescent="0.2">
      <c r="A181" s="286">
        <v>25</v>
      </c>
      <c r="B181" s="287" t="s">
        <v>456</v>
      </c>
      <c r="C181" s="287" t="s">
        <v>461</v>
      </c>
      <c r="D181" s="288" t="s">
        <v>489</v>
      </c>
      <c r="E181" s="293">
        <f ca="1">IF(D181="","",(VLOOKUP($D181,master_food_list,'Master Food List'!N$91,FALSE)))</f>
        <v>200</v>
      </c>
      <c r="F181" s="293">
        <f ca="1">IF(E181="","",(VLOOKUP($D181,master_food_list,'Master Food List'!O$91,FALSE)))</f>
        <v>25</v>
      </c>
      <c r="G181" s="293">
        <f ca="1">IF(F181="","",(VLOOKUP($D181,master_food_list,'Master Food List'!P$91,FALSE)))</f>
        <v>22.5</v>
      </c>
      <c r="H181" s="293">
        <f ca="1">IF(G181="","",(VLOOKUP($D181,master_food_list,'Master Food List'!Q$91,FALSE)))</f>
        <v>1.25</v>
      </c>
      <c r="I181" s="293">
        <f ca="1">IF(H181="","",(VLOOKUP($D181,master_food_list,'Master Food List'!R$91,FALSE)))</f>
        <v>800</v>
      </c>
      <c r="J181" s="293">
        <f ca="1">IF(I181="","",(VLOOKUP($D181,master_food_list,'Master Food List'!S$91,FALSE)))</f>
        <v>0</v>
      </c>
      <c r="K181" s="293">
        <f ca="1">IF(J181="","",(VLOOKUP($D181,master_food_list,'Master Food List'!T$91,FALSE)))</f>
        <v>74.074074074074076</v>
      </c>
    </row>
    <row r="182" spans="1:11" customFormat="1" ht="51" x14ac:dyDescent="0.2">
      <c r="A182" s="286">
        <v>25</v>
      </c>
      <c r="B182" s="287" t="s">
        <v>456</v>
      </c>
      <c r="C182" s="287" t="s">
        <v>460</v>
      </c>
      <c r="D182" s="288"/>
      <c r="E182" s="293" t="str">
        <f>IF(D182="","",(VLOOKUP($D182,master_food_list,'Master Food List'!N$91,FALSE)))</f>
        <v/>
      </c>
      <c r="F182" s="293" t="str">
        <f>IF(E182="","",(VLOOKUP($D182,master_food_list,'Master Food List'!O$91,FALSE)))</f>
        <v/>
      </c>
      <c r="G182" s="293" t="str">
        <f>IF(F182="","",(VLOOKUP($D182,master_food_list,'Master Food List'!P$91,FALSE)))</f>
        <v/>
      </c>
      <c r="H182" s="293" t="str">
        <f>IF(G182="","",(VLOOKUP($D182,master_food_list,'Master Food List'!Q$91,FALSE)))</f>
        <v/>
      </c>
      <c r="I182" s="293" t="str">
        <f>IF(H182="","",(VLOOKUP($D182,master_food_list,'Master Food List'!R$91,FALSE)))</f>
        <v/>
      </c>
      <c r="J182" s="293" t="str">
        <f>IF(I182="","",(VLOOKUP($D182,master_food_list,'Master Food List'!S$91,FALSE)))</f>
        <v/>
      </c>
      <c r="K182" s="293" t="str">
        <f>IF(J182="","",(VLOOKUP($D182,master_food_list,'Master Food List'!T$91,FALSE)))</f>
        <v/>
      </c>
    </row>
    <row r="183" spans="1:11" customFormat="1" ht="51" x14ac:dyDescent="0.2">
      <c r="A183" s="286">
        <v>25</v>
      </c>
      <c r="B183" s="287" t="s">
        <v>456</v>
      </c>
      <c r="C183" s="287" t="s">
        <v>459</v>
      </c>
      <c r="D183" s="288" t="s">
        <v>433</v>
      </c>
      <c r="E183" s="293">
        <f ca="1">IF(D183="","",(VLOOKUP($D183,master_food_list,'Master Food List'!N$91,FALSE)))</f>
        <v>280</v>
      </c>
      <c r="F183" s="293">
        <f ca="1">IF(E183="","",(VLOOKUP($D183,master_food_list,'Master Food List'!O$91,FALSE)))</f>
        <v>34</v>
      </c>
      <c r="G183" s="293">
        <f ca="1">IF(F183="","",(VLOOKUP($D183,master_food_list,'Master Food List'!P$91,FALSE)))</f>
        <v>2</v>
      </c>
      <c r="H183" s="293">
        <f ca="1">IF(G183="","",(VLOOKUP($D183,master_food_list,'Master Food List'!Q$91,FALSE)))</f>
        <v>17</v>
      </c>
      <c r="I183" s="293">
        <f ca="1">IF(H183="","",(VLOOKUP($D183,master_food_list,'Master Food List'!R$91,FALSE)))</f>
        <v>0</v>
      </c>
      <c r="J183" s="293">
        <f ca="1">IF(I183="","",(VLOOKUP($D183,master_food_list,'Master Food List'!S$91,FALSE)))</f>
        <v>0</v>
      </c>
      <c r="K183" s="293">
        <f ca="1">IF(J183="","",(VLOOKUP($D183,master_food_list,'Master Food List'!T$91,FALSE)))</f>
        <v>140</v>
      </c>
    </row>
    <row r="184" spans="1:11" customFormat="1" ht="51" x14ac:dyDescent="0.2">
      <c r="A184" s="286">
        <v>25</v>
      </c>
      <c r="B184" s="287" t="s">
        <v>456</v>
      </c>
      <c r="C184" s="287" t="s">
        <v>458</v>
      </c>
      <c r="D184" s="288" t="s">
        <v>294</v>
      </c>
      <c r="E184" s="293">
        <f ca="1">IF(D184="","",(VLOOKUP($D184,master_food_list,'Master Food List'!N$91,FALSE)))</f>
        <v>960</v>
      </c>
      <c r="F184" s="293">
        <f ca="1">IF(E184="","",(VLOOKUP($D184,master_food_list,'Master Food List'!O$91,FALSE)))</f>
        <v>93</v>
      </c>
      <c r="G184" s="293">
        <f ca="1">IF(F184="","",(VLOOKUP($D184,master_food_list,'Master Food List'!P$91,FALSE)))</f>
        <v>39</v>
      </c>
      <c r="H184" s="293">
        <f ca="1">IF(G184="","",(VLOOKUP($D184,master_food_list,'Master Food List'!Q$91,FALSE)))</f>
        <v>45</v>
      </c>
      <c r="I184" s="293">
        <f ca="1">IF(H184="","",(VLOOKUP($D184,master_food_list,'Master Food List'!R$91,FALSE)))</f>
        <v>2040</v>
      </c>
      <c r="J184" s="293">
        <f ca="1">IF(I184="","",(VLOOKUP($D184,master_food_list,'Master Food List'!S$91,FALSE)))</f>
        <v>0</v>
      </c>
      <c r="K184" s="293">
        <f ca="1">IF(J184="","",(VLOOKUP($D184,master_food_list,'Master Food List'!T$91,FALSE)))</f>
        <v>141.03819784524975</v>
      </c>
    </row>
    <row r="185" spans="1:11" customFormat="1" ht="51" x14ac:dyDescent="0.2">
      <c r="A185" s="286">
        <v>25</v>
      </c>
      <c r="B185" s="287" t="s">
        <v>456</v>
      </c>
      <c r="C185" s="287" t="s">
        <v>457</v>
      </c>
      <c r="D185" s="288" t="s">
        <v>479</v>
      </c>
      <c r="E185" s="293">
        <f ca="1">IF(D185="","",(VLOOKUP($D185,master_food_list,'Master Food List'!N$91,FALSE)))</f>
        <v>300</v>
      </c>
      <c r="F185" s="293">
        <f ca="1">IF(E185="","",(VLOOKUP($D185,master_food_list,'Master Food List'!O$91,FALSE)))</f>
        <v>10.5</v>
      </c>
      <c r="G185" s="293">
        <f ca="1">IF(F185="","",(VLOOKUP($D185,master_food_list,'Master Food List'!P$91,FALSE)))</f>
        <v>10.5</v>
      </c>
      <c r="H185" s="293">
        <f ca="1">IF(G185="","",(VLOOKUP($D185,master_food_list,'Master Food List'!Q$91,FALSE)))</f>
        <v>25.5</v>
      </c>
      <c r="I185" s="293">
        <f ca="1">IF(H185="","",(VLOOKUP($D185,master_food_list,'Master Food List'!R$91,FALSE)))</f>
        <v>150</v>
      </c>
      <c r="J185" s="293">
        <f ca="1">IF(I185="","",(VLOOKUP($D185,master_food_list,'Master Food List'!S$91,FALSE)))</f>
        <v>0</v>
      </c>
      <c r="K185" s="293">
        <f ca="1">IF(J185="","",(VLOOKUP($D185,master_food_list,'Master Food List'!T$91,FALSE)))</f>
        <v>177.77777777777777</v>
      </c>
    </row>
    <row r="186" spans="1:11" customFormat="1" ht="51" x14ac:dyDescent="0.2">
      <c r="A186" s="286">
        <v>25</v>
      </c>
      <c r="B186" s="287" t="s">
        <v>456</v>
      </c>
      <c r="C186" s="287" t="s">
        <v>455</v>
      </c>
      <c r="D186" s="288" t="s">
        <v>482</v>
      </c>
      <c r="E186" s="293">
        <f ca="1">IF(D186="","",(VLOOKUP($D186,master_food_list,'Master Food List'!N$91,FALSE)))</f>
        <v>110</v>
      </c>
      <c r="F186" s="293">
        <f ca="1">IF(E186="","",(VLOOKUP($D186,master_food_list,'Master Food List'!O$91,FALSE)))</f>
        <v>21</v>
      </c>
      <c r="G186" s="293">
        <f ca="1">IF(F186="","",(VLOOKUP($D186,master_food_list,'Master Food List'!P$91,FALSE)))</f>
        <v>1</v>
      </c>
      <c r="H186" s="293">
        <f ca="1">IF(G186="","",(VLOOKUP($D186,master_food_list,'Master Food List'!Q$91,FALSE)))</f>
        <v>2</v>
      </c>
      <c r="I186" s="293">
        <f ca="1">IF(H186="","",(VLOOKUP($D186,master_food_list,'Master Food List'!R$91,FALSE)))</f>
        <v>150</v>
      </c>
      <c r="J186" s="293">
        <f ca="1">IF(I186="","",(VLOOKUP($D186,master_food_list,'Master Food List'!S$91,FALSE)))</f>
        <v>0</v>
      </c>
      <c r="K186" s="293">
        <f ca="1">IF(J186="","",(VLOOKUP($D186,master_food_list,'Master Food List'!T$91,FALSE)))</f>
        <v>118.27956989247312</v>
      </c>
    </row>
    <row r="187" spans="1:11" customFormat="1" ht="51" x14ac:dyDescent="0.2">
      <c r="A187" s="286">
        <v>26</v>
      </c>
      <c r="B187" s="287" t="s">
        <v>456</v>
      </c>
      <c r="C187" s="287" t="s">
        <v>462</v>
      </c>
      <c r="D187" s="288" t="s">
        <v>414</v>
      </c>
      <c r="E187" s="293">
        <f ca="1">IF(D187="","",(VLOOKUP($D187,master_food_list,'Master Food List'!N$91,FALSE)))</f>
        <v>250</v>
      </c>
      <c r="F187" s="293">
        <f ca="1">IF(E187="","",(VLOOKUP($D187,master_food_list,'Master Food List'!O$91,FALSE)))</f>
        <v>33</v>
      </c>
      <c r="G187" s="293">
        <f ca="1">IF(F187="","",(VLOOKUP($D187,master_food_list,'Master Food List'!P$91,FALSE)))</f>
        <v>4</v>
      </c>
      <c r="H187" s="293">
        <f ca="1">IF(G187="","",(VLOOKUP($D187,master_food_list,'Master Food List'!Q$91,FALSE)))</f>
        <v>12</v>
      </c>
      <c r="I187" s="293">
        <f ca="1">IF(H187="","",(VLOOKUP($D187,master_food_list,'Master Food List'!R$91,FALSE)))</f>
        <v>120</v>
      </c>
      <c r="J187" s="293">
        <f ca="1">IF(I187="","",(VLOOKUP($D187,master_food_list,'Master Food List'!S$91,FALSE)))</f>
        <v>0</v>
      </c>
      <c r="K187" s="293">
        <f ca="1">IF(J187="","",(VLOOKUP($D187,master_food_list,'Master Food List'!T$91,FALSE)))</f>
        <v>134.40860215053763</v>
      </c>
    </row>
    <row r="188" spans="1:11" customFormat="1" ht="51" x14ac:dyDescent="0.2">
      <c r="A188" s="286">
        <v>26</v>
      </c>
      <c r="B188" s="287" t="s">
        <v>456</v>
      </c>
      <c r="C188" s="287" t="s">
        <v>461</v>
      </c>
      <c r="D188" s="288" t="s">
        <v>427</v>
      </c>
      <c r="E188" s="293">
        <f ca="1">IF(D188="","",(VLOOKUP($D188,master_food_list,'Master Food List'!N$91,FALSE)))</f>
        <v>300</v>
      </c>
      <c r="F188" s="293">
        <f ca="1">IF(E188="","",(VLOOKUP($D188,master_food_list,'Master Food List'!O$91,FALSE)))</f>
        <v>24</v>
      </c>
      <c r="G188" s="293">
        <f ca="1">IF(F188="","",(VLOOKUP($D188,master_food_list,'Master Food List'!P$91,FALSE)))</f>
        <v>8</v>
      </c>
      <c r="H188" s="293">
        <f ca="1">IF(G188="","",(VLOOKUP($D188,master_food_list,'Master Food List'!Q$91,FALSE)))</f>
        <v>20</v>
      </c>
      <c r="I188" s="293">
        <f ca="1">IF(H188="","",(VLOOKUP($D188,master_food_list,'Master Food List'!R$91,FALSE)))</f>
        <v>120</v>
      </c>
      <c r="J188" s="293">
        <f ca="1">IF(I188="","",(VLOOKUP($D188,master_food_list,'Master Food List'!S$91,FALSE)))</f>
        <v>0</v>
      </c>
      <c r="K188" s="293">
        <f ca="1">IF(J188="","",(VLOOKUP($D188,master_food_list,'Master Food List'!T$91,FALSE)))</f>
        <v>150</v>
      </c>
    </row>
    <row r="189" spans="1:11" customFormat="1" ht="51" x14ac:dyDescent="0.2">
      <c r="A189" s="286">
        <v>26</v>
      </c>
      <c r="B189" s="287" t="s">
        <v>456</v>
      </c>
      <c r="C189" s="287" t="s">
        <v>460</v>
      </c>
      <c r="D189" s="288"/>
      <c r="E189" s="293" t="str">
        <f>IF(D189="","",(VLOOKUP($D189,master_food_list,'Master Food List'!N$91,FALSE)))</f>
        <v/>
      </c>
      <c r="F189" s="293" t="str">
        <f>IF(E189="","",(VLOOKUP($D189,master_food_list,'Master Food List'!O$91,FALSE)))</f>
        <v/>
      </c>
      <c r="G189" s="293" t="str">
        <f>IF(F189="","",(VLOOKUP($D189,master_food_list,'Master Food List'!P$91,FALSE)))</f>
        <v/>
      </c>
      <c r="H189" s="293" t="str">
        <f>IF(G189="","",(VLOOKUP($D189,master_food_list,'Master Food List'!Q$91,FALSE)))</f>
        <v/>
      </c>
      <c r="I189" s="293" t="str">
        <f>IF(H189="","",(VLOOKUP($D189,master_food_list,'Master Food List'!R$91,FALSE)))</f>
        <v/>
      </c>
      <c r="J189" s="293" t="str">
        <f>IF(I189="","",(VLOOKUP($D189,master_food_list,'Master Food List'!S$91,FALSE)))</f>
        <v/>
      </c>
      <c r="K189" s="293" t="str">
        <f>IF(J189="","",(VLOOKUP($D189,master_food_list,'Master Food List'!T$91,FALSE)))</f>
        <v/>
      </c>
    </row>
    <row r="190" spans="1:11" customFormat="1" ht="51" x14ac:dyDescent="0.2">
      <c r="A190" s="286">
        <v>26</v>
      </c>
      <c r="B190" s="287" t="s">
        <v>456</v>
      </c>
      <c r="C190" s="287" t="s">
        <v>459</v>
      </c>
      <c r="D190" s="288" t="s">
        <v>430</v>
      </c>
      <c r="E190" s="293">
        <f ca="1">IF(D190="","",(VLOOKUP($D190,master_food_list,'Master Food List'!N$91,FALSE)))</f>
        <v>510</v>
      </c>
      <c r="F190" s="293">
        <f ca="1">IF(E190="","",(VLOOKUP($D190,master_food_list,'Master Food List'!O$91,FALSE)))</f>
        <v>42</v>
      </c>
      <c r="G190" s="293">
        <f ca="1">IF(F190="","",(VLOOKUP($D190,master_food_list,'Master Food List'!P$91,FALSE)))</f>
        <v>10.5</v>
      </c>
      <c r="H190" s="293">
        <f ca="1">IF(G190="","",(VLOOKUP($D190,master_food_list,'Master Food List'!Q$91,FALSE)))</f>
        <v>33</v>
      </c>
      <c r="I190" s="293">
        <f ca="1">IF(H190="","",(VLOOKUP($D190,master_food_list,'Master Food List'!R$91,FALSE)))</f>
        <v>75</v>
      </c>
      <c r="J190" s="293">
        <f ca="1">IF(I190="","",(VLOOKUP($D190,master_food_list,'Master Food List'!S$91,FALSE)))</f>
        <v>0</v>
      </c>
      <c r="K190" s="293">
        <f ca="1">IF(J190="","",(VLOOKUP($D190,master_food_list,'Master Food List'!T$91,FALSE)))</f>
        <v>170</v>
      </c>
    </row>
    <row r="191" spans="1:11" customFormat="1" ht="51" x14ac:dyDescent="0.2">
      <c r="A191" s="286">
        <v>26</v>
      </c>
      <c r="B191" s="287" t="s">
        <v>456</v>
      </c>
      <c r="C191" s="287" t="s">
        <v>458</v>
      </c>
      <c r="D191" s="288" t="s">
        <v>492</v>
      </c>
      <c r="E191" s="293">
        <f ca="1">IF(D191="","",(VLOOKUP($D191,master_food_list,'Master Food List'!N$91,FALSE)))</f>
        <v>620</v>
      </c>
      <c r="F191" s="293">
        <f ca="1">IF(E191="","",(VLOOKUP($D191,master_food_list,'Master Food List'!O$91,FALSE)))</f>
        <v>90</v>
      </c>
      <c r="G191" s="293">
        <f ca="1">IF(F191="","",(VLOOKUP($D191,master_food_list,'Master Food List'!P$91,FALSE)))</f>
        <v>28</v>
      </c>
      <c r="H191" s="293">
        <f ca="1">IF(G191="","",(VLOOKUP($D191,master_food_list,'Master Food List'!Q$91,FALSE)))</f>
        <v>20</v>
      </c>
      <c r="I191" s="293">
        <f ca="1">IF(H191="","",(VLOOKUP($D191,master_food_list,'Master Food List'!R$91,FALSE)))</f>
        <v>1340</v>
      </c>
      <c r="J191" s="293">
        <f ca="1">IF(I191="","",(VLOOKUP($D191,master_food_list,'Master Food List'!S$91,FALSE)))</f>
        <v>0</v>
      </c>
      <c r="K191" s="293">
        <f ca="1">IF(J191="","",(VLOOKUP($D191,master_food_list,'Master Food List'!T$91,FALSE)))</f>
        <v>122.04724409448819</v>
      </c>
    </row>
    <row r="192" spans="1:11" customFormat="1" ht="51" x14ac:dyDescent="0.2">
      <c r="A192" s="286">
        <v>26</v>
      </c>
      <c r="B192" s="287" t="s">
        <v>456</v>
      </c>
      <c r="C192" s="287" t="s">
        <v>457</v>
      </c>
      <c r="D192" s="288" t="s">
        <v>479</v>
      </c>
      <c r="E192" s="293">
        <f ca="1">IF(D192="","",(VLOOKUP($D192,master_food_list,'Master Food List'!N$91,FALSE)))</f>
        <v>300</v>
      </c>
      <c r="F192" s="293">
        <f ca="1">IF(E192="","",(VLOOKUP($D192,master_food_list,'Master Food List'!O$91,FALSE)))</f>
        <v>10.5</v>
      </c>
      <c r="G192" s="293">
        <f ca="1">IF(F192="","",(VLOOKUP($D192,master_food_list,'Master Food List'!P$91,FALSE)))</f>
        <v>10.5</v>
      </c>
      <c r="H192" s="293">
        <f ca="1">IF(G192="","",(VLOOKUP($D192,master_food_list,'Master Food List'!Q$91,FALSE)))</f>
        <v>25.5</v>
      </c>
      <c r="I192" s="293">
        <f ca="1">IF(H192="","",(VLOOKUP($D192,master_food_list,'Master Food List'!R$91,FALSE)))</f>
        <v>150</v>
      </c>
      <c r="J192" s="293">
        <f ca="1">IF(I192="","",(VLOOKUP($D192,master_food_list,'Master Food List'!S$91,FALSE)))</f>
        <v>0</v>
      </c>
      <c r="K192" s="293">
        <f ca="1">IF(J192="","",(VLOOKUP($D192,master_food_list,'Master Food List'!T$91,FALSE)))</f>
        <v>177.77777777777777</v>
      </c>
    </row>
    <row r="193" spans="1:11" customFormat="1" ht="51" x14ac:dyDescent="0.2">
      <c r="A193" s="286">
        <v>26</v>
      </c>
      <c r="B193" s="287" t="s">
        <v>456</v>
      </c>
      <c r="C193" s="287" t="s">
        <v>455</v>
      </c>
      <c r="D193" s="288" t="s">
        <v>478</v>
      </c>
      <c r="E193" s="293">
        <f ca="1">IF(D193="","",(VLOOKUP($D193,master_food_list,'Master Food List'!N$91,FALSE)))</f>
        <v>540</v>
      </c>
      <c r="F193" s="293">
        <f ca="1">IF(E193="","",(VLOOKUP($D193,master_food_list,'Master Food List'!O$91,FALSE)))</f>
        <v>105</v>
      </c>
      <c r="G193" s="293">
        <f ca="1">IF(F193="","",(VLOOKUP($D193,master_food_list,'Master Food List'!P$91,FALSE)))</f>
        <v>6</v>
      </c>
      <c r="H193" s="293">
        <f ca="1">IF(G193="","",(VLOOKUP($D193,master_food_list,'Master Food List'!Q$91,FALSE)))</f>
        <v>12</v>
      </c>
      <c r="I193" s="293">
        <f ca="1">IF(H193="","",(VLOOKUP($D193,master_food_list,'Master Food List'!R$91,FALSE)))</f>
        <v>240</v>
      </c>
      <c r="J193" s="293">
        <f ca="1">IF(I193="","",(VLOOKUP($D193,master_food_list,'Master Food List'!S$91,FALSE)))</f>
        <v>0</v>
      </c>
      <c r="K193" s="293">
        <f ca="1">IF(J193="","",(VLOOKUP($D193,master_food_list,'Master Food List'!T$91,FALSE)))</f>
        <v>117.64705882352942</v>
      </c>
    </row>
    <row r="194" spans="1:11" customFormat="1" ht="51" x14ac:dyDescent="0.2">
      <c r="A194" s="286">
        <v>27</v>
      </c>
      <c r="B194" s="287" t="s">
        <v>456</v>
      </c>
      <c r="C194" s="287" t="s">
        <v>462</v>
      </c>
      <c r="D194" s="288" t="s">
        <v>480</v>
      </c>
      <c r="E194" s="293">
        <f ca="1">IF(D194="","",(VLOOKUP($D194,master_food_list,'Master Food List'!N$91,FALSE)))</f>
        <v>620</v>
      </c>
      <c r="F194" s="293">
        <f ca="1">IF(E194="","",(VLOOKUP($D194,master_food_list,'Master Food List'!O$91,FALSE)))</f>
        <v>74</v>
      </c>
      <c r="G194" s="293">
        <f ca="1">IF(F194="","",(VLOOKUP($D194,master_food_list,'Master Food List'!P$91,FALSE)))</f>
        <v>16</v>
      </c>
      <c r="H194" s="293">
        <f ca="1">IF(G194="","",(VLOOKUP($D194,master_food_list,'Master Food List'!Q$91,FALSE)))</f>
        <v>31</v>
      </c>
      <c r="I194" s="293">
        <f ca="1">IF(H194="","",(VLOOKUP($D194,master_food_list,'Master Food List'!R$91,FALSE)))</f>
        <v>280</v>
      </c>
      <c r="J194" s="293">
        <f ca="1">IF(I194="","",(VLOOKUP($D194,master_food_list,'Master Food List'!S$91,FALSE)))</f>
        <v>0</v>
      </c>
      <c r="K194" s="293">
        <f ca="1">IF(J194="","",(VLOOKUP($D194,master_food_list,'Master Food List'!T$91,FALSE)))</f>
        <v>130.52631578947367</v>
      </c>
    </row>
    <row r="195" spans="1:11" customFormat="1" ht="51" x14ac:dyDescent="0.2">
      <c r="A195" s="286">
        <v>27</v>
      </c>
      <c r="B195" s="287" t="s">
        <v>456</v>
      </c>
      <c r="C195" s="287" t="s">
        <v>461</v>
      </c>
      <c r="D195" s="288" t="s">
        <v>327</v>
      </c>
      <c r="E195" s="293">
        <f ca="1">IF(D195="","",(VLOOKUP($D195,master_food_list,'Master Food List'!N$91,FALSE)))</f>
        <v>130</v>
      </c>
      <c r="F195" s="293">
        <f ca="1">IF(E195="","",(VLOOKUP($D195,master_food_list,'Master Food List'!O$91,FALSE)))</f>
        <v>8</v>
      </c>
      <c r="G195" s="293">
        <f ca="1">IF(F195="","",(VLOOKUP($D195,master_food_list,'Master Food List'!P$91,FALSE)))</f>
        <v>7</v>
      </c>
      <c r="H195" s="293">
        <f ca="1">IF(G195="","",(VLOOKUP($D195,master_food_list,'Master Food List'!Q$91,FALSE)))</f>
        <v>8</v>
      </c>
      <c r="I195" s="293">
        <f ca="1">IF(H195="","",(VLOOKUP($D195,master_food_list,'Master Food List'!R$91,FALSE)))</f>
        <v>320</v>
      </c>
      <c r="J195" s="293">
        <f ca="1">IF(I195="","",(VLOOKUP($D195,master_food_list,'Master Food List'!S$91,FALSE)))</f>
        <v>0</v>
      </c>
      <c r="K195" s="293">
        <f ca="1">IF(J195="","",(VLOOKUP($D195,master_food_list,'Master Food List'!T$91,FALSE)))</f>
        <v>99.999999999999986</v>
      </c>
    </row>
    <row r="196" spans="1:11" customFormat="1" ht="51" x14ac:dyDescent="0.2">
      <c r="A196" s="286">
        <v>27</v>
      </c>
      <c r="B196" s="287" t="s">
        <v>456</v>
      </c>
      <c r="C196" s="287" t="s">
        <v>460</v>
      </c>
      <c r="D196" s="288"/>
      <c r="E196" s="293" t="str">
        <f>IF(D196="","",(VLOOKUP($D196,master_food_list,'Master Food List'!N$91,FALSE)))</f>
        <v/>
      </c>
      <c r="F196" s="293" t="str">
        <f>IF(E196="","",(VLOOKUP($D196,master_food_list,'Master Food List'!O$91,FALSE)))</f>
        <v/>
      </c>
      <c r="G196" s="293" t="str">
        <f>IF(F196="","",(VLOOKUP($D196,master_food_list,'Master Food List'!P$91,FALSE)))</f>
        <v/>
      </c>
      <c r="H196" s="293" t="str">
        <f>IF(G196="","",(VLOOKUP($D196,master_food_list,'Master Food List'!Q$91,FALSE)))</f>
        <v/>
      </c>
      <c r="I196" s="293" t="str">
        <f>IF(H196="","",(VLOOKUP($D196,master_food_list,'Master Food List'!R$91,FALSE)))</f>
        <v/>
      </c>
      <c r="J196" s="293" t="str">
        <f>IF(I196="","",(VLOOKUP($D196,master_food_list,'Master Food List'!S$91,FALSE)))</f>
        <v/>
      </c>
      <c r="K196" s="293" t="str">
        <f>IF(J196="","",(VLOOKUP($D196,master_food_list,'Master Food List'!T$91,FALSE)))</f>
        <v/>
      </c>
    </row>
    <row r="197" spans="1:11" customFormat="1" ht="51" x14ac:dyDescent="0.2">
      <c r="A197" s="286">
        <v>27</v>
      </c>
      <c r="B197" s="287" t="s">
        <v>456</v>
      </c>
      <c r="C197" s="287" t="s">
        <v>459</v>
      </c>
      <c r="D197" s="288" t="s">
        <v>397</v>
      </c>
      <c r="E197" s="293">
        <f ca="1">IF(D197="","",(VLOOKUP($D197,master_food_list,'Master Food List'!N$91,FALSE)))</f>
        <v>280</v>
      </c>
      <c r="F197" s="293">
        <f ca="1">IF(E197="","",(VLOOKUP($D197,master_food_list,'Master Food List'!O$91,FALSE)))</f>
        <v>29</v>
      </c>
      <c r="G197" s="293">
        <f ca="1">IF(F197="","",(VLOOKUP($D197,master_food_list,'Master Food List'!P$91,FALSE)))</f>
        <v>20</v>
      </c>
      <c r="H197" s="293">
        <f ca="1">IF(G197="","",(VLOOKUP($D197,master_food_list,'Master Food List'!Q$91,FALSE)))</f>
        <v>10</v>
      </c>
      <c r="I197" s="293">
        <f ca="1">IF(H197="","",(VLOOKUP($D197,master_food_list,'Master Food List'!R$91,FALSE)))</f>
        <v>360</v>
      </c>
      <c r="J197" s="293">
        <f ca="1">IF(I197="","",(VLOOKUP($D197,master_food_list,'Master Food List'!S$91,FALSE)))</f>
        <v>0</v>
      </c>
      <c r="K197" s="293">
        <f ca="1">IF(J197="","",(VLOOKUP($D197,master_food_list,'Master Food List'!T$91,FALSE)))</f>
        <v>116.66666666666667</v>
      </c>
    </row>
    <row r="198" spans="1:11" customFormat="1" ht="51" x14ac:dyDescent="0.2">
      <c r="A198" s="286">
        <v>27</v>
      </c>
      <c r="B198" s="287" t="s">
        <v>456</v>
      </c>
      <c r="C198" s="287" t="s">
        <v>458</v>
      </c>
      <c r="D198" s="288" t="s">
        <v>449</v>
      </c>
      <c r="E198" s="293">
        <f ca="1">IF(D198="","",(VLOOKUP($D198,master_food_list,'Master Food List'!N$91,FALSE)))</f>
        <v>520</v>
      </c>
      <c r="F198" s="293">
        <f ca="1">IF(E198="","",(VLOOKUP($D198,master_food_list,'Master Food List'!O$91,FALSE)))</f>
        <v>104</v>
      </c>
      <c r="G198" s="293">
        <f ca="1">IF(F198="","",(VLOOKUP($D198,master_food_list,'Master Food List'!P$91,FALSE)))</f>
        <v>22</v>
      </c>
      <c r="H198" s="293">
        <f ca="1">IF(G198="","",(VLOOKUP($D198,master_food_list,'Master Food List'!Q$91,FALSE)))</f>
        <v>6</v>
      </c>
      <c r="I198" s="293">
        <f ca="1">IF(H198="","",(VLOOKUP($D198,master_food_list,'Master Food List'!R$91,FALSE)))</f>
        <v>1360</v>
      </c>
      <c r="J198" s="293">
        <f ca="1">IF(I198="","",(VLOOKUP($D198,master_food_list,'Master Food List'!S$91,FALSE)))</f>
        <v>0</v>
      </c>
      <c r="K198" s="293">
        <f ca="1">IF(J198="","",(VLOOKUP($D198,master_food_list,'Master Food List'!T$91,FALSE)))</f>
        <v>92.857142857142861</v>
      </c>
    </row>
    <row r="199" spans="1:11" customFormat="1" ht="51" x14ac:dyDescent="0.2">
      <c r="A199" s="286">
        <v>27</v>
      </c>
      <c r="B199" s="287" t="s">
        <v>456</v>
      </c>
      <c r="C199" s="287" t="s">
        <v>457</v>
      </c>
      <c r="D199" s="288" t="s">
        <v>479</v>
      </c>
      <c r="E199" s="293">
        <f ca="1">IF(D199="","",(VLOOKUP($D199,master_food_list,'Master Food List'!N$91,FALSE)))</f>
        <v>300</v>
      </c>
      <c r="F199" s="293">
        <f ca="1">IF(E199="","",(VLOOKUP($D199,master_food_list,'Master Food List'!O$91,FALSE)))</f>
        <v>10.5</v>
      </c>
      <c r="G199" s="293">
        <f ca="1">IF(F199="","",(VLOOKUP($D199,master_food_list,'Master Food List'!P$91,FALSE)))</f>
        <v>10.5</v>
      </c>
      <c r="H199" s="293">
        <f ca="1">IF(G199="","",(VLOOKUP($D199,master_food_list,'Master Food List'!Q$91,FALSE)))</f>
        <v>25.5</v>
      </c>
      <c r="I199" s="293">
        <f ca="1">IF(H199="","",(VLOOKUP($D199,master_food_list,'Master Food List'!R$91,FALSE)))</f>
        <v>150</v>
      </c>
      <c r="J199" s="293">
        <f ca="1">IF(I199="","",(VLOOKUP($D199,master_food_list,'Master Food List'!S$91,FALSE)))</f>
        <v>0</v>
      </c>
      <c r="K199" s="293">
        <f ca="1">IF(J199="","",(VLOOKUP($D199,master_food_list,'Master Food List'!T$91,FALSE)))</f>
        <v>177.77777777777777</v>
      </c>
    </row>
    <row r="200" spans="1:11" customFormat="1" ht="51" x14ac:dyDescent="0.2">
      <c r="A200" s="286">
        <v>27</v>
      </c>
      <c r="B200" s="287" t="s">
        <v>456</v>
      </c>
      <c r="C200" s="287" t="s">
        <v>455</v>
      </c>
      <c r="D200" s="288" t="s">
        <v>482</v>
      </c>
      <c r="E200" s="293">
        <f ca="1">IF(D200="","",(VLOOKUP($D200,master_food_list,'Master Food List'!N$91,FALSE)))</f>
        <v>110</v>
      </c>
      <c r="F200" s="293">
        <f ca="1">IF(E200="","",(VLOOKUP($D200,master_food_list,'Master Food List'!O$91,FALSE)))</f>
        <v>21</v>
      </c>
      <c r="G200" s="293">
        <f ca="1">IF(F200="","",(VLOOKUP($D200,master_food_list,'Master Food List'!P$91,FALSE)))</f>
        <v>1</v>
      </c>
      <c r="H200" s="293">
        <f ca="1">IF(G200="","",(VLOOKUP($D200,master_food_list,'Master Food List'!Q$91,FALSE)))</f>
        <v>2</v>
      </c>
      <c r="I200" s="293">
        <f ca="1">IF(H200="","",(VLOOKUP($D200,master_food_list,'Master Food List'!R$91,FALSE)))</f>
        <v>150</v>
      </c>
      <c r="J200" s="293">
        <f ca="1">IF(I200="","",(VLOOKUP($D200,master_food_list,'Master Food List'!S$91,FALSE)))</f>
        <v>0</v>
      </c>
      <c r="K200" s="293">
        <f ca="1">IF(J200="","",(VLOOKUP($D200,master_food_list,'Master Food List'!T$91,FALSE)))</f>
        <v>118.27956989247312</v>
      </c>
    </row>
    <row r="201" spans="1:11" customFormat="1" ht="51" x14ac:dyDescent="0.2">
      <c r="A201" s="286">
        <v>28</v>
      </c>
      <c r="B201" s="287" t="s">
        <v>456</v>
      </c>
      <c r="C201" s="287" t="s">
        <v>462</v>
      </c>
      <c r="D201" s="288" t="s">
        <v>414</v>
      </c>
      <c r="E201" s="293">
        <f ca="1">IF(D201="","",(VLOOKUP($D201,master_food_list,'Master Food List'!N$91,FALSE)))</f>
        <v>250</v>
      </c>
      <c r="F201" s="293">
        <f ca="1">IF(E201="","",(VLOOKUP($D201,master_food_list,'Master Food List'!O$91,FALSE)))</f>
        <v>33</v>
      </c>
      <c r="G201" s="293">
        <f ca="1">IF(F201="","",(VLOOKUP($D201,master_food_list,'Master Food List'!P$91,FALSE)))</f>
        <v>4</v>
      </c>
      <c r="H201" s="293">
        <f ca="1">IF(G201="","",(VLOOKUP($D201,master_food_list,'Master Food List'!Q$91,FALSE)))</f>
        <v>12</v>
      </c>
      <c r="I201" s="293">
        <f ca="1">IF(H201="","",(VLOOKUP($D201,master_food_list,'Master Food List'!R$91,FALSE)))</f>
        <v>120</v>
      </c>
      <c r="J201" s="293">
        <f ca="1">IF(I201="","",(VLOOKUP($D201,master_food_list,'Master Food List'!S$91,FALSE)))</f>
        <v>0</v>
      </c>
      <c r="K201" s="293">
        <f ca="1">IF(J201="","",(VLOOKUP($D201,master_food_list,'Master Food List'!T$91,FALSE)))</f>
        <v>134.40860215053763</v>
      </c>
    </row>
    <row r="202" spans="1:11" customFormat="1" ht="51" x14ac:dyDescent="0.2">
      <c r="A202" s="286">
        <v>28</v>
      </c>
      <c r="B202" s="287" t="s">
        <v>456</v>
      </c>
      <c r="C202" s="287" t="s">
        <v>461</v>
      </c>
      <c r="D202" s="288" t="s">
        <v>354</v>
      </c>
      <c r="E202" s="293">
        <f ca="1">IF(D202="","",(VLOOKUP($D202,master_food_list,'Master Food List'!N$91,FALSE)))</f>
        <v>270</v>
      </c>
      <c r="F202" s="293">
        <f ca="1">IF(E202="","",(VLOOKUP($D202,master_food_list,'Master Food List'!O$91,FALSE)))</f>
        <v>72</v>
      </c>
      <c r="G202" s="293">
        <f ca="1">IF(F202="","",(VLOOKUP($D202,master_food_list,'Master Food List'!P$91,FALSE)))</f>
        <v>3</v>
      </c>
      <c r="H202" s="293">
        <f ca="1">IF(G202="","",(VLOOKUP($D202,master_food_list,'Master Food List'!Q$91,FALSE)))</f>
        <v>0</v>
      </c>
      <c r="I202" s="293">
        <f ca="1">IF(H202="","",(VLOOKUP($D202,master_food_list,'Master Food List'!R$91,FALSE)))</f>
        <v>0</v>
      </c>
      <c r="J202" s="293">
        <f ca="1">IF(I202="","",(VLOOKUP($D202,master_food_list,'Master Food List'!S$91,FALSE)))</f>
        <v>0</v>
      </c>
      <c r="K202" s="293">
        <f ca="1">IF(J202="","",(VLOOKUP($D202,master_food_list,'Master Food List'!T$91,FALSE)))</f>
        <v>112.5</v>
      </c>
    </row>
    <row r="203" spans="1:11" customFormat="1" ht="51" x14ac:dyDescent="0.2">
      <c r="A203" s="286">
        <v>28</v>
      </c>
      <c r="B203" s="287" t="s">
        <v>456</v>
      </c>
      <c r="C203" s="287" t="s">
        <v>460</v>
      </c>
      <c r="D203" s="288"/>
      <c r="E203" s="293" t="str">
        <f>IF(D203="","",(VLOOKUP($D203,master_food_list,'Master Food List'!N$91,FALSE)))</f>
        <v/>
      </c>
      <c r="F203" s="293" t="str">
        <f>IF(E203="","",(VLOOKUP($D203,master_food_list,'Master Food List'!O$91,FALSE)))</f>
        <v/>
      </c>
      <c r="G203" s="293" t="str">
        <f>IF(F203="","",(VLOOKUP($D203,master_food_list,'Master Food List'!P$91,FALSE)))</f>
        <v/>
      </c>
      <c r="H203" s="293" t="str">
        <f>IF(G203="","",(VLOOKUP($D203,master_food_list,'Master Food List'!Q$91,FALSE)))</f>
        <v/>
      </c>
      <c r="I203" s="293" t="str">
        <f>IF(H203="","",(VLOOKUP($D203,master_food_list,'Master Food List'!R$91,FALSE)))</f>
        <v/>
      </c>
      <c r="J203" s="293" t="str">
        <f>IF(I203="","",(VLOOKUP($D203,master_food_list,'Master Food List'!S$91,FALSE)))</f>
        <v/>
      </c>
      <c r="K203" s="293" t="str">
        <f>IF(J203="","",(VLOOKUP($D203,master_food_list,'Master Food List'!T$91,FALSE)))</f>
        <v/>
      </c>
    </row>
    <row r="204" spans="1:11" customFormat="1" ht="51" x14ac:dyDescent="0.2">
      <c r="A204" s="286">
        <v>28</v>
      </c>
      <c r="B204" s="287" t="s">
        <v>456</v>
      </c>
      <c r="C204" s="287" t="s">
        <v>459</v>
      </c>
      <c r="D204" s="288" t="s">
        <v>430</v>
      </c>
      <c r="E204" s="293">
        <f ca="1">IF(D204="","",(VLOOKUP($D204,master_food_list,'Master Food List'!N$91,FALSE)))</f>
        <v>510</v>
      </c>
      <c r="F204" s="293">
        <f ca="1">IF(E204="","",(VLOOKUP($D204,master_food_list,'Master Food List'!O$91,FALSE)))</f>
        <v>42</v>
      </c>
      <c r="G204" s="293">
        <f ca="1">IF(F204="","",(VLOOKUP($D204,master_food_list,'Master Food List'!P$91,FALSE)))</f>
        <v>10.5</v>
      </c>
      <c r="H204" s="293">
        <f ca="1">IF(G204="","",(VLOOKUP($D204,master_food_list,'Master Food List'!Q$91,FALSE)))</f>
        <v>33</v>
      </c>
      <c r="I204" s="293">
        <f ca="1">IF(H204="","",(VLOOKUP($D204,master_food_list,'Master Food List'!R$91,FALSE)))</f>
        <v>75</v>
      </c>
      <c r="J204" s="293">
        <f ca="1">IF(I204="","",(VLOOKUP($D204,master_food_list,'Master Food List'!S$91,FALSE)))</f>
        <v>0</v>
      </c>
      <c r="K204" s="293">
        <f ca="1">IF(J204="","",(VLOOKUP($D204,master_food_list,'Master Food List'!T$91,FALSE)))</f>
        <v>170</v>
      </c>
    </row>
    <row r="205" spans="1:11" customFormat="1" ht="51" x14ac:dyDescent="0.2">
      <c r="A205" s="286">
        <v>28</v>
      </c>
      <c r="B205" s="287" t="s">
        <v>456</v>
      </c>
      <c r="C205" s="287" t="s">
        <v>458</v>
      </c>
      <c r="D205" s="288" t="s">
        <v>436</v>
      </c>
      <c r="E205" s="293">
        <f ca="1">IF(D205="","",(VLOOKUP($D205,master_food_list,'Master Food List'!N$91,FALSE)))</f>
        <v>620</v>
      </c>
      <c r="F205" s="293">
        <f ca="1">IF(E205="","",(VLOOKUP($D205,master_food_list,'Master Food List'!O$91,FALSE)))</f>
        <v>144</v>
      </c>
      <c r="G205" s="293">
        <f ca="1">IF(F205="","",(VLOOKUP($D205,master_food_list,'Master Food List'!P$91,FALSE)))</f>
        <v>28</v>
      </c>
      <c r="H205" s="293">
        <f ca="1">IF(G205="","",(VLOOKUP($D205,master_food_list,'Master Food List'!Q$91,FALSE)))</f>
        <v>7</v>
      </c>
      <c r="I205" s="293">
        <f ca="1">IF(H205="","",(VLOOKUP($D205,master_food_list,'Master Food List'!R$91,FALSE)))</f>
        <v>1160</v>
      </c>
      <c r="J205" s="293">
        <f ca="1">IF(I205="","",(VLOOKUP($D205,master_food_list,'Master Food List'!S$91,FALSE)))</f>
        <v>0</v>
      </c>
      <c r="K205" s="293">
        <f ca="1">IF(J205="","",(VLOOKUP($D205,master_food_list,'Master Food List'!T$91,FALSE)))</f>
        <v>103.33333333333333</v>
      </c>
    </row>
    <row r="206" spans="1:11" customFormat="1" ht="51" x14ac:dyDescent="0.2">
      <c r="A206" s="286">
        <v>28</v>
      </c>
      <c r="B206" s="287" t="s">
        <v>456</v>
      </c>
      <c r="C206" s="287" t="s">
        <v>457</v>
      </c>
      <c r="D206" s="288" t="s">
        <v>479</v>
      </c>
      <c r="E206" s="293">
        <f ca="1">IF(D206="","",(VLOOKUP($D206,master_food_list,'Master Food List'!N$91,FALSE)))</f>
        <v>300</v>
      </c>
      <c r="F206" s="293">
        <f ca="1">IF(E206="","",(VLOOKUP($D206,master_food_list,'Master Food List'!O$91,FALSE)))</f>
        <v>10.5</v>
      </c>
      <c r="G206" s="293">
        <f ca="1">IF(F206="","",(VLOOKUP($D206,master_food_list,'Master Food List'!P$91,FALSE)))</f>
        <v>10.5</v>
      </c>
      <c r="H206" s="293">
        <f ca="1">IF(G206="","",(VLOOKUP($D206,master_food_list,'Master Food List'!Q$91,FALSE)))</f>
        <v>25.5</v>
      </c>
      <c r="I206" s="293">
        <f ca="1">IF(H206="","",(VLOOKUP($D206,master_food_list,'Master Food List'!R$91,FALSE)))</f>
        <v>150</v>
      </c>
      <c r="J206" s="293">
        <f ca="1">IF(I206="","",(VLOOKUP($D206,master_food_list,'Master Food List'!S$91,FALSE)))</f>
        <v>0</v>
      </c>
      <c r="K206" s="293">
        <f ca="1">IF(J206="","",(VLOOKUP($D206,master_food_list,'Master Food List'!T$91,FALSE)))</f>
        <v>177.77777777777777</v>
      </c>
    </row>
    <row r="207" spans="1:11" customFormat="1" ht="51" x14ac:dyDescent="0.2">
      <c r="A207" s="286">
        <v>28</v>
      </c>
      <c r="B207" s="287" t="s">
        <v>456</v>
      </c>
      <c r="C207" s="287" t="s">
        <v>455</v>
      </c>
      <c r="D207" s="288" t="s">
        <v>482</v>
      </c>
      <c r="E207" s="293">
        <f ca="1">IF(D207="","",(VLOOKUP($D207,master_food_list,'Master Food List'!N$91,FALSE)))</f>
        <v>110</v>
      </c>
      <c r="F207" s="293">
        <f ca="1">IF(E207="","",(VLOOKUP($D207,master_food_list,'Master Food List'!O$91,FALSE)))</f>
        <v>21</v>
      </c>
      <c r="G207" s="293">
        <f ca="1">IF(F207="","",(VLOOKUP($D207,master_food_list,'Master Food List'!P$91,FALSE)))</f>
        <v>1</v>
      </c>
      <c r="H207" s="293">
        <f ca="1">IF(G207="","",(VLOOKUP($D207,master_food_list,'Master Food List'!Q$91,FALSE)))</f>
        <v>2</v>
      </c>
      <c r="I207" s="293">
        <f ca="1">IF(H207="","",(VLOOKUP($D207,master_food_list,'Master Food List'!R$91,FALSE)))</f>
        <v>150</v>
      </c>
      <c r="J207" s="293">
        <f ca="1">IF(I207="","",(VLOOKUP($D207,master_food_list,'Master Food List'!S$91,FALSE)))</f>
        <v>0</v>
      </c>
      <c r="K207" s="293">
        <f ca="1">IF(J207="","",(VLOOKUP($D207,master_food_list,'Master Food List'!T$91,FALSE)))</f>
        <v>118.27956989247312</v>
      </c>
    </row>
    <row r="208" spans="1:11" customFormat="1" ht="51" x14ac:dyDescent="0.2">
      <c r="A208" s="286">
        <v>29</v>
      </c>
      <c r="B208" s="287" t="s">
        <v>456</v>
      </c>
      <c r="C208" s="287" t="s">
        <v>462</v>
      </c>
      <c r="D208" s="288" t="s">
        <v>480</v>
      </c>
      <c r="E208" s="293">
        <f ca="1">IF(D208="","",(VLOOKUP($D208,master_food_list,'Master Food List'!N$91,FALSE)))</f>
        <v>620</v>
      </c>
      <c r="F208" s="293">
        <f ca="1">IF(E208="","",(VLOOKUP($D208,master_food_list,'Master Food List'!O$91,FALSE)))</f>
        <v>74</v>
      </c>
      <c r="G208" s="293">
        <f ca="1">IF(F208="","",(VLOOKUP($D208,master_food_list,'Master Food List'!P$91,FALSE)))</f>
        <v>16</v>
      </c>
      <c r="H208" s="293">
        <f ca="1">IF(G208="","",(VLOOKUP($D208,master_food_list,'Master Food List'!Q$91,FALSE)))</f>
        <v>31</v>
      </c>
      <c r="I208" s="293">
        <f ca="1">IF(H208="","",(VLOOKUP($D208,master_food_list,'Master Food List'!R$91,FALSE)))</f>
        <v>280</v>
      </c>
      <c r="J208" s="293">
        <f ca="1">IF(I208="","",(VLOOKUP($D208,master_food_list,'Master Food List'!S$91,FALSE)))</f>
        <v>0</v>
      </c>
      <c r="K208" s="293">
        <f ca="1">IF(J208="","",(VLOOKUP($D208,master_food_list,'Master Food List'!T$91,FALSE)))</f>
        <v>130.52631578947367</v>
      </c>
    </row>
    <row r="209" spans="1:11" customFormat="1" ht="51" x14ac:dyDescent="0.2">
      <c r="A209" s="286">
        <v>29</v>
      </c>
      <c r="B209" s="287" t="s">
        <v>456</v>
      </c>
      <c r="C209" s="287" t="s">
        <v>461</v>
      </c>
      <c r="D209" s="288" t="s">
        <v>433</v>
      </c>
      <c r="E209" s="293">
        <f ca="1">IF(D209="","",(VLOOKUP($D209,master_food_list,'Master Food List'!N$91,FALSE)))</f>
        <v>280</v>
      </c>
      <c r="F209" s="293">
        <f ca="1">IF(E209="","",(VLOOKUP($D209,master_food_list,'Master Food List'!O$91,FALSE)))</f>
        <v>34</v>
      </c>
      <c r="G209" s="293">
        <f ca="1">IF(F209="","",(VLOOKUP($D209,master_food_list,'Master Food List'!P$91,FALSE)))</f>
        <v>2</v>
      </c>
      <c r="H209" s="293">
        <f ca="1">IF(G209="","",(VLOOKUP($D209,master_food_list,'Master Food List'!Q$91,FALSE)))</f>
        <v>17</v>
      </c>
      <c r="I209" s="293">
        <f ca="1">IF(H209="","",(VLOOKUP($D209,master_food_list,'Master Food List'!R$91,FALSE)))</f>
        <v>0</v>
      </c>
      <c r="J209" s="293">
        <f ca="1">IF(I209="","",(VLOOKUP($D209,master_food_list,'Master Food List'!S$91,FALSE)))</f>
        <v>0</v>
      </c>
      <c r="K209" s="293">
        <f ca="1">IF(J209="","",(VLOOKUP($D209,master_food_list,'Master Food List'!T$91,FALSE)))</f>
        <v>140</v>
      </c>
    </row>
    <row r="210" spans="1:11" customFormat="1" ht="51" x14ac:dyDescent="0.2">
      <c r="A210" s="286">
        <v>29</v>
      </c>
      <c r="B210" s="287" t="s">
        <v>456</v>
      </c>
      <c r="C210" s="287" t="s">
        <v>460</v>
      </c>
      <c r="D210" s="288"/>
      <c r="E210" s="293" t="str">
        <f>IF(D210="","",(VLOOKUP($D210,master_food_list,'Master Food List'!N$91,FALSE)))</f>
        <v/>
      </c>
      <c r="F210" s="293" t="str">
        <f>IF(E210="","",(VLOOKUP($D210,master_food_list,'Master Food List'!O$91,FALSE)))</f>
        <v/>
      </c>
      <c r="G210" s="293" t="str">
        <f>IF(F210="","",(VLOOKUP($D210,master_food_list,'Master Food List'!P$91,FALSE)))</f>
        <v/>
      </c>
      <c r="H210" s="293" t="str">
        <f>IF(G210="","",(VLOOKUP($D210,master_food_list,'Master Food List'!Q$91,FALSE)))</f>
        <v/>
      </c>
      <c r="I210" s="293" t="str">
        <f>IF(H210="","",(VLOOKUP($D210,master_food_list,'Master Food List'!R$91,FALSE)))</f>
        <v/>
      </c>
      <c r="J210" s="293" t="str">
        <f>IF(I210="","",(VLOOKUP($D210,master_food_list,'Master Food List'!S$91,FALSE)))</f>
        <v/>
      </c>
      <c r="K210" s="293" t="str">
        <f>IF(J210="","",(VLOOKUP($D210,master_food_list,'Master Food List'!T$91,FALSE)))</f>
        <v/>
      </c>
    </row>
    <row r="211" spans="1:11" customFormat="1" ht="51" x14ac:dyDescent="0.2">
      <c r="A211" s="286">
        <v>29</v>
      </c>
      <c r="B211" s="287" t="s">
        <v>456</v>
      </c>
      <c r="C211" s="287" t="s">
        <v>459</v>
      </c>
      <c r="D211" s="288" t="s">
        <v>414</v>
      </c>
      <c r="E211" s="293">
        <f ca="1">IF(D211="","",(VLOOKUP($D211,master_food_list,'Master Food List'!N$91,FALSE)))</f>
        <v>250</v>
      </c>
      <c r="F211" s="293">
        <f ca="1">IF(E211="","",(VLOOKUP($D211,master_food_list,'Master Food List'!O$91,FALSE)))</f>
        <v>33</v>
      </c>
      <c r="G211" s="293">
        <f ca="1">IF(F211="","",(VLOOKUP($D211,master_food_list,'Master Food List'!P$91,FALSE)))</f>
        <v>4</v>
      </c>
      <c r="H211" s="293">
        <f ca="1">IF(G211="","",(VLOOKUP($D211,master_food_list,'Master Food List'!Q$91,FALSE)))</f>
        <v>12</v>
      </c>
      <c r="I211" s="293">
        <f ca="1">IF(H211="","",(VLOOKUP($D211,master_food_list,'Master Food List'!R$91,FALSE)))</f>
        <v>120</v>
      </c>
      <c r="J211" s="293">
        <f ca="1">IF(I211="","",(VLOOKUP($D211,master_food_list,'Master Food List'!S$91,FALSE)))</f>
        <v>0</v>
      </c>
      <c r="K211" s="293">
        <f ca="1">IF(J211="","",(VLOOKUP($D211,master_food_list,'Master Food List'!T$91,FALSE)))</f>
        <v>134.40860215053763</v>
      </c>
    </row>
    <row r="212" spans="1:11" customFormat="1" ht="51" x14ac:dyDescent="0.2">
      <c r="A212" s="286">
        <v>29</v>
      </c>
      <c r="B212" s="287" t="s">
        <v>456</v>
      </c>
      <c r="C212" s="287" t="s">
        <v>458</v>
      </c>
      <c r="D212" s="288" t="s">
        <v>493</v>
      </c>
      <c r="E212" s="293">
        <f ca="1">IF(D212="","",(VLOOKUP($D212,master_food_list,'Master Food List'!N$91,FALSE)))</f>
        <v>1000</v>
      </c>
      <c r="F212" s="293">
        <f ca="1">IF(E212="","",(VLOOKUP($D212,master_food_list,'Master Food List'!O$91,FALSE)))</f>
        <v>112</v>
      </c>
      <c r="G212" s="293">
        <f ca="1">IF(F212="","",(VLOOKUP($D212,master_food_list,'Master Food List'!P$91,FALSE)))</f>
        <v>40</v>
      </c>
      <c r="H212" s="293">
        <f ca="1">IF(G212="","",(VLOOKUP($D212,master_food_list,'Master Food List'!Q$91,FALSE)))</f>
        <v>52</v>
      </c>
      <c r="I212" s="293">
        <f ca="1">IF(H212="","",(VLOOKUP($D212,master_food_list,'Master Food List'!R$91,FALSE)))</f>
        <v>460</v>
      </c>
      <c r="J212" s="293">
        <f ca="1">IF(I212="","",(VLOOKUP($D212,master_food_list,'Master Food List'!S$91,FALSE)))</f>
        <v>0</v>
      </c>
      <c r="K212" s="293">
        <f ca="1">IF(J212="","",(VLOOKUP($D212,master_food_list,'Master Food List'!T$91,FALSE)))</f>
        <v>123.4567901234568</v>
      </c>
    </row>
    <row r="213" spans="1:11" customFormat="1" ht="51" x14ac:dyDescent="0.2">
      <c r="A213" s="286">
        <v>29</v>
      </c>
      <c r="B213" s="287" t="s">
        <v>456</v>
      </c>
      <c r="C213" s="287" t="s">
        <v>457</v>
      </c>
      <c r="D213" s="288" t="s">
        <v>479</v>
      </c>
      <c r="E213" s="293">
        <f ca="1">IF(D213="","",(VLOOKUP($D213,master_food_list,'Master Food List'!N$91,FALSE)))</f>
        <v>300</v>
      </c>
      <c r="F213" s="293">
        <f ca="1">IF(E213="","",(VLOOKUP($D213,master_food_list,'Master Food List'!O$91,FALSE)))</f>
        <v>10.5</v>
      </c>
      <c r="G213" s="293">
        <f ca="1">IF(F213="","",(VLOOKUP($D213,master_food_list,'Master Food List'!P$91,FALSE)))</f>
        <v>10.5</v>
      </c>
      <c r="H213" s="293">
        <f ca="1">IF(G213="","",(VLOOKUP($D213,master_food_list,'Master Food List'!Q$91,FALSE)))</f>
        <v>25.5</v>
      </c>
      <c r="I213" s="293">
        <f ca="1">IF(H213="","",(VLOOKUP($D213,master_food_list,'Master Food List'!R$91,FALSE)))</f>
        <v>150</v>
      </c>
      <c r="J213" s="293">
        <f ca="1">IF(I213="","",(VLOOKUP($D213,master_food_list,'Master Food List'!S$91,FALSE)))</f>
        <v>0</v>
      </c>
      <c r="K213" s="293">
        <f ca="1">IF(J213="","",(VLOOKUP($D213,master_food_list,'Master Food List'!T$91,FALSE)))</f>
        <v>177.77777777777777</v>
      </c>
    </row>
    <row r="214" spans="1:11" customFormat="1" ht="51" x14ac:dyDescent="0.2">
      <c r="A214" s="286">
        <v>29</v>
      </c>
      <c r="B214" s="287" t="s">
        <v>456</v>
      </c>
      <c r="C214" s="287" t="s">
        <v>455</v>
      </c>
      <c r="D214" s="288" t="s">
        <v>482</v>
      </c>
      <c r="E214" s="293">
        <f ca="1">IF(D214="","",(VLOOKUP($D214,master_food_list,'Master Food List'!N$91,FALSE)))</f>
        <v>110</v>
      </c>
      <c r="F214" s="293">
        <f ca="1">IF(E214="","",(VLOOKUP($D214,master_food_list,'Master Food List'!O$91,FALSE)))</f>
        <v>21</v>
      </c>
      <c r="G214" s="293">
        <f ca="1">IF(F214="","",(VLOOKUP($D214,master_food_list,'Master Food List'!P$91,FALSE)))</f>
        <v>1</v>
      </c>
      <c r="H214" s="293">
        <f ca="1">IF(G214="","",(VLOOKUP($D214,master_food_list,'Master Food List'!Q$91,FALSE)))</f>
        <v>2</v>
      </c>
      <c r="I214" s="293">
        <f ca="1">IF(H214="","",(VLOOKUP($D214,master_food_list,'Master Food List'!R$91,FALSE)))</f>
        <v>150</v>
      </c>
      <c r="J214" s="293">
        <f ca="1">IF(I214="","",(VLOOKUP($D214,master_food_list,'Master Food List'!S$91,FALSE)))</f>
        <v>0</v>
      </c>
      <c r="K214" s="293">
        <f ca="1">IF(J214="","",(VLOOKUP($D214,master_food_list,'Master Food List'!T$91,FALSE)))</f>
        <v>118.27956989247312</v>
      </c>
    </row>
  </sheetData>
  <mergeCells count="4">
    <mergeCell ref="A2:K2"/>
    <mergeCell ref="D4:E4"/>
    <mergeCell ref="F4:I4"/>
    <mergeCell ref="A1:K1"/>
  </mergeCells>
  <printOptions horizontalCentered="1"/>
  <pageMargins left="0.25" right="0.25" top="0.75" bottom="0.5" header="0.25" footer="0.3"/>
  <pageSetup scale="61" fitToHeight="0" orientation="portrait" horizontalDpi="0" verticalDpi="0"/>
  <headerFooter>
    <oddHeader>&amp;C&amp;"Calibri Bold,Bold"&amp;18&amp;K000000JMT 2018</oddHeader>
  </headerFooter>
  <rowBreaks count="3" manualBreakCount="3">
    <brk id="81" max="16383" man="1"/>
    <brk id="109" max="16383" man="1"/>
    <brk id="151"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7897EB-832D-5E46-B554-C2F7E2C0D75D}">
          <x14:formula1>
            <xm:f>'Master Food List'!$A:$A</xm:f>
          </x14:formula1>
          <xm:sqref>D8:D214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9D23-6EC5-F449-A1D8-BC4D80C8B33D}">
  <sheetPr>
    <pageSetUpPr fitToPage="1"/>
  </sheetPr>
  <dimension ref="A1:P214"/>
  <sheetViews>
    <sheetView zoomScaleNormal="100" zoomScaleSheetLayoutView="100" workbookViewId="0">
      <pane ySplit="7" topLeftCell="A8" activePane="bottomLeft" state="frozen"/>
      <selection pane="bottomLeft" sqref="A1:K1"/>
    </sheetView>
  </sheetViews>
  <sheetFormatPr baseColWidth="10" defaultRowHeight="16" x14ac:dyDescent="0.2"/>
  <cols>
    <col min="1" max="1" width="9.83203125" style="199" customWidth="1"/>
    <col min="2" max="2" width="11.83203125" style="200" bestFit="1" customWidth="1"/>
    <col min="3" max="3" width="13.1640625" style="200" bestFit="1" customWidth="1"/>
    <col min="4" max="4" width="39.5" style="201" customWidth="1"/>
    <col min="5" max="5" width="10.83203125" style="270"/>
    <col min="6" max="6" width="16.83203125" style="270" bestFit="1" customWidth="1"/>
    <col min="7" max="7" width="10.6640625" style="270" bestFit="1" customWidth="1"/>
    <col min="8" max="8" width="7" style="270" bestFit="1" customWidth="1"/>
    <col min="9" max="9" width="12.83203125" style="270" bestFit="1" customWidth="1"/>
    <col min="10" max="10" width="11.5" style="270" bestFit="1" customWidth="1"/>
    <col min="11" max="11" width="13" style="270" bestFit="1" customWidth="1"/>
    <col min="12" max="12" width="10.83203125" style="202"/>
    <col min="13" max="13" width="91.1640625" style="202" bestFit="1" customWidth="1"/>
    <col min="14" max="14" width="12.33203125" style="202" bestFit="1" customWidth="1"/>
    <col min="15" max="16384" width="10.83203125" style="202"/>
  </cols>
  <sheetData>
    <row r="1" spans="1:16" ht="87" customHeight="1" x14ac:dyDescent="0.2">
      <c r="A1" s="452" t="s">
        <v>746</v>
      </c>
      <c r="B1" s="452"/>
      <c r="C1" s="452"/>
      <c r="D1" s="452"/>
      <c r="E1" s="452"/>
      <c r="F1" s="452"/>
      <c r="G1" s="452"/>
      <c r="H1" s="452"/>
      <c r="I1" s="452"/>
      <c r="J1" s="452"/>
      <c r="K1" s="452"/>
    </row>
    <row r="2" spans="1:16" s="160" customFormat="1" ht="46" customHeight="1" x14ac:dyDescent="0.2">
      <c r="A2" s="451" t="s">
        <v>477</v>
      </c>
      <c r="B2" s="451"/>
      <c r="C2" s="451"/>
      <c r="D2" s="451"/>
      <c r="E2" s="451"/>
      <c r="F2" s="451"/>
      <c r="G2" s="451"/>
      <c r="H2" s="451"/>
      <c r="I2" s="451"/>
      <c r="J2" s="451"/>
      <c r="K2" s="451"/>
    </row>
    <row r="3" spans="1:16" s="160" customFormat="1" x14ac:dyDescent="0.2">
      <c r="A3" s="169"/>
      <c r="B3" s="169"/>
      <c r="C3" s="269"/>
      <c r="D3" s="187"/>
      <c r="E3" s="269"/>
      <c r="F3" s="269"/>
      <c r="G3" s="161"/>
      <c r="H3" s="271"/>
      <c r="I3" s="161"/>
      <c r="J3" s="161"/>
      <c r="K3" s="161"/>
    </row>
    <row r="4" spans="1:16" s="160" customFormat="1" ht="38" customHeight="1" x14ac:dyDescent="0.2">
      <c r="A4" s="167" t="s">
        <v>473</v>
      </c>
      <c r="B4" s="167" t="s">
        <v>472</v>
      </c>
      <c r="C4" s="269"/>
      <c r="D4" s="453" t="s">
        <v>475</v>
      </c>
      <c r="E4" s="453"/>
      <c r="F4" s="453" t="s">
        <v>474</v>
      </c>
      <c r="G4" s="453"/>
      <c r="H4" s="453"/>
      <c r="I4" s="453"/>
      <c r="J4" s="166"/>
      <c r="K4" s="269"/>
      <c r="L4" s="272"/>
      <c r="M4" s="272"/>
      <c r="N4" s="272"/>
      <c r="O4" s="272"/>
      <c r="P4" s="272"/>
    </row>
    <row r="5" spans="1:16" s="160" customFormat="1" ht="15" customHeight="1" x14ac:dyDescent="0.2">
      <c r="A5" s="277" t="s">
        <v>469</v>
      </c>
      <c r="B5" s="164" t="s">
        <v>468</v>
      </c>
      <c r="C5" s="162"/>
      <c r="D5" s="162"/>
      <c r="E5" s="161"/>
      <c r="F5" s="161"/>
      <c r="G5" s="161"/>
      <c r="H5" s="271"/>
      <c r="I5" s="161"/>
      <c r="J5" s="161"/>
      <c r="K5" s="161"/>
    </row>
    <row r="6" spans="1:16" s="160" customFormat="1" ht="15" customHeight="1" x14ac:dyDescent="0.2">
      <c r="A6" s="165"/>
      <c r="B6" s="164"/>
      <c r="C6" s="162"/>
      <c r="D6" s="162"/>
      <c r="E6" s="161"/>
      <c r="F6" s="161"/>
      <c r="G6" s="161"/>
      <c r="H6" s="271"/>
      <c r="I6" s="161"/>
      <c r="J6" s="161"/>
      <c r="K6" s="161"/>
    </row>
    <row r="7" spans="1:16" s="160" customFormat="1" ht="32" x14ac:dyDescent="0.2">
      <c r="A7" s="176" t="s">
        <v>467</v>
      </c>
      <c r="B7" s="176" t="s">
        <v>466</v>
      </c>
      <c r="C7" s="176" t="s">
        <v>227</v>
      </c>
      <c r="D7" s="176" t="s">
        <v>465</v>
      </c>
      <c r="E7" s="177" t="s">
        <v>368</v>
      </c>
      <c r="F7" s="177" t="s">
        <v>367</v>
      </c>
      <c r="G7" s="177" t="s">
        <v>366</v>
      </c>
      <c r="H7" s="177" t="s">
        <v>365</v>
      </c>
      <c r="I7" s="177" t="s">
        <v>364</v>
      </c>
      <c r="J7" s="177" t="s">
        <v>380</v>
      </c>
      <c r="K7" s="177" t="s">
        <v>464</v>
      </c>
    </row>
    <row r="8" spans="1:16" s="190" customFormat="1" ht="32" x14ac:dyDescent="0.2">
      <c r="A8" s="278">
        <v>0</v>
      </c>
      <c r="B8" s="279" t="s">
        <v>463</v>
      </c>
      <c r="C8" s="279" t="s">
        <v>461</v>
      </c>
      <c r="D8" s="280" t="s">
        <v>495</v>
      </c>
      <c r="E8" s="291"/>
      <c r="F8" s="291"/>
      <c r="G8" s="291"/>
      <c r="H8" s="291"/>
      <c r="I8" s="291"/>
      <c r="J8" s="291"/>
      <c r="K8" s="291"/>
    </row>
    <row r="9" spans="1:16" s="190" customFormat="1" x14ac:dyDescent="0.2">
      <c r="A9" s="278">
        <v>0</v>
      </c>
      <c r="B9" s="279" t="s">
        <v>463</v>
      </c>
      <c r="C9" s="279" t="s">
        <v>460</v>
      </c>
      <c r="D9" s="281" t="s">
        <v>445</v>
      </c>
      <c r="E9" s="291">
        <f ca="1">IF(D9="","",(VLOOKUP($D9,master_food_list,'Master Food List'!N$91,FALSE)))</f>
        <v>580</v>
      </c>
      <c r="F9" s="291">
        <f ca="1">IF(E9="","",(VLOOKUP($D9,master_food_list,'Master Food List'!O$91,FALSE)))</f>
        <v>84</v>
      </c>
      <c r="G9" s="291">
        <f ca="1">IF(F9="","",(VLOOKUP($D9,master_food_list,'Master Food List'!P$91,FALSE)))</f>
        <v>50</v>
      </c>
      <c r="H9" s="291">
        <f ca="1">IF(G9="","",(VLOOKUP($D9,master_food_list,'Master Food List'!Q$91,FALSE)))</f>
        <v>10</v>
      </c>
      <c r="I9" s="291">
        <f ca="1">IF(H9="","",(VLOOKUP($D9,master_food_list,'Master Food List'!R$91,FALSE)))</f>
        <v>1500</v>
      </c>
      <c r="J9" s="291">
        <f ca="1">IF(I9="","",(VLOOKUP($D9,master_food_list,'Master Food List'!S$91,FALSE)))</f>
        <v>0</v>
      </c>
      <c r="K9" s="291">
        <f ca="1">IF(J9="","",(VLOOKUP($D9,master_food_list,'Master Food List'!T$91,FALSE)))</f>
        <v>96.666666666666671</v>
      </c>
      <c r="M9" s="243" t="s">
        <v>515</v>
      </c>
      <c r="N9" t="s">
        <v>517</v>
      </c>
    </row>
    <row r="10" spans="1:16" s="190" customFormat="1" ht="32" x14ac:dyDescent="0.2">
      <c r="A10" s="278">
        <v>0</v>
      </c>
      <c r="B10" s="279" t="s">
        <v>463</v>
      </c>
      <c r="C10" s="279" t="s">
        <v>459</v>
      </c>
      <c r="D10" s="280" t="s">
        <v>354</v>
      </c>
      <c r="E10" s="291">
        <f ca="1">IF(D10="","",(VLOOKUP($D10,master_food_list,'Master Food List'!N$91,FALSE)))</f>
        <v>270</v>
      </c>
      <c r="F10" s="291">
        <f ca="1">IF(E10="","",(VLOOKUP($D10,master_food_list,'Master Food List'!O$91,FALSE)))</f>
        <v>72</v>
      </c>
      <c r="G10" s="291">
        <f ca="1">IF(F10="","",(VLOOKUP($D10,master_food_list,'Master Food List'!P$91,FALSE)))</f>
        <v>3</v>
      </c>
      <c r="H10" s="291">
        <f ca="1">IF(G10="","",(VLOOKUP($D10,master_food_list,'Master Food List'!Q$91,FALSE)))</f>
        <v>0</v>
      </c>
      <c r="I10" s="291">
        <f ca="1">IF(H10="","",(VLOOKUP($D10,master_food_list,'Master Food List'!R$91,FALSE)))</f>
        <v>0</v>
      </c>
      <c r="J10" s="291">
        <f ca="1">IF(I10="","",(VLOOKUP($D10,master_food_list,'Master Food List'!S$91,FALSE)))</f>
        <v>0</v>
      </c>
      <c r="K10" s="291">
        <f ca="1">IF(J10="","",(VLOOKUP($D10,master_food_list,'Master Food List'!T$91,FALSE)))</f>
        <v>112.5</v>
      </c>
      <c r="M10" s="194" t="s">
        <v>462</v>
      </c>
      <c r="N10" s="245"/>
    </row>
    <row r="11" spans="1:16" s="190" customFormat="1" x14ac:dyDescent="0.2">
      <c r="A11" s="278">
        <v>0</v>
      </c>
      <c r="B11" s="279" t="s">
        <v>463</v>
      </c>
      <c r="C11" s="279" t="s">
        <v>458</v>
      </c>
      <c r="D11" s="281" t="s">
        <v>486</v>
      </c>
      <c r="E11" s="291">
        <f ca="1">IF(D11="","",(VLOOKUP($D11,master_food_list,'Master Food List'!N$91,FALSE)))</f>
        <v>960</v>
      </c>
      <c r="F11" s="291">
        <f ca="1">IF(E11="","",(VLOOKUP($D11,master_food_list,'Master Food List'!O$91,FALSE)))</f>
        <v>178</v>
      </c>
      <c r="G11" s="291">
        <f ca="1">IF(F11="","",(VLOOKUP($D11,master_food_list,'Master Food List'!P$91,FALSE)))</f>
        <v>34</v>
      </c>
      <c r="H11" s="291">
        <f ca="1">IF(G11="","",(VLOOKUP($D11,master_food_list,'Master Food List'!Q$91,FALSE)))</f>
        <v>12</v>
      </c>
      <c r="I11" s="291">
        <f ca="1">IF(H11="","",(VLOOKUP($D11,master_food_list,'Master Food List'!R$91,FALSE)))</f>
        <v>1620</v>
      </c>
      <c r="J11" s="291">
        <f ca="1">IF(I11="","",(VLOOKUP($D11,master_food_list,'Master Food List'!S$91,FALSE)))</f>
        <v>0</v>
      </c>
      <c r="K11" s="291">
        <f ca="1">IF(J11="","",(VLOOKUP($D11,master_food_list,'Master Food List'!T$91,FALSE)))</f>
        <v>109.09090909090908</v>
      </c>
      <c r="M11" s="248" t="s">
        <v>480</v>
      </c>
      <c r="N11" s="249">
        <v>10</v>
      </c>
    </row>
    <row r="12" spans="1:16" s="189" customFormat="1" ht="32" x14ac:dyDescent="0.2">
      <c r="A12" s="282">
        <v>1</v>
      </c>
      <c r="B12" s="283" t="s">
        <v>463</v>
      </c>
      <c r="C12" s="283" t="s">
        <v>462</v>
      </c>
      <c r="D12" s="284" t="s">
        <v>480</v>
      </c>
      <c r="E12" s="292">
        <f ca="1">IF(D12="","",(VLOOKUP($D12,master_food_list,'Master Food List'!N$91,FALSE)))</f>
        <v>620</v>
      </c>
      <c r="F12" s="292">
        <f ca="1">IF(E12="","",(VLOOKUP($D12,master_food_list,'Master Food List'!O$91,FALSE)))</f>
        <v>74</v>
      </c>
      <c r="G12" s="292">
        <f ca="1">IF(F12="","",(VLOOKUP($D12,master_food_list,'Master Food List'!P$91,FALSE)))</f>
        <v>16</v>
      </c>
      <c r="H12" s="292">
        <f ca="1">IF(G12="","",(VLOOKUP($D12,master_food_list,'Master Food List'!Q$91,FALSE)))</f>
        <v>31</v>
      </c>
      <c r="I12" s="292">
        <f ca="1">IF(H12="","",(VLOOKUP($D12,master_food_list,'Master Food List'!R$91,FALSE)))</f>
        <v>280</v>
      </c>
      <c r="J12" s="292">
        <f ca="1">IF(I12="","",(VLOOKUP($D12,master_food_list,'Master Food List'!S$91,FALSE)))</f>
        <v>0</v>
      </c>
      <c r="K12" s="292">
        <f ca="1">IF(J12="","",(VLOOKUP($D12,master_food_list,'Master Food List'!T$91,FALSE)))</f>
        <v>130.52631578947367</v>
      </c>
      <c r="M12" s="248" t="s">
        <v>485</v>
      </c>
      <c r="N12" s="249">
        <v>7</v>
      </c>
    </row>
    <row r="13" spans="1:16" s="189" customFormat="1" ht="48" x14ac:dyDescent="0.2">
      <c r="A13" s="282">
        <v>1</v>
      </c>
      <c r="B13" s="283" t="s">
        <v>463</v>
      </c>
      <c r="C13" s="283" t="s">
        <v>461</v>
      </c>
      <c r="D13" s="284" t="s">
        <v>430</v>
      </c>
      <c r="E13" s="292">
        <f ca="1">IF(D13="","",(VLOOKUP($D13,master_food_list,'Master Food List'!N$91,FALSE)))</f>
        <v>510</v>
      </c>
      <c r="F13" s="292">
        <f ca="1">IF(E13="","",(VLOOKUP($D13,master_food_list,'Master Food List'!O$91,FALSE)))</f>
        <v>42</v>
      </c>
      <c r="G13" s="292">
        <f ca="1">IF(F13="","",(VLOOKUP($D13,master_food_list,'Master Food List'!P$91,FALSE)))</f>
        <v>10.5</v>
      </c>
      <c r="H13" s="292">
        <f ca="1">IF(G13="","",(VLOOKUP($D13,master_food_list,'Master Food List'!Q$91,FALSE)))</f>
        <v>33</v>
      </c>
      <c r="I13" s="292">
        <f ca="1">IF(H13="","",(VLOOKUP($D13,master_food_list,'Master Food List'!R$91,FALSE)))</f>
        <v>75</v>
      </c>
      <c r="J13" s="292">
        <f ca="1">IF(I13="","",(VLOOKUP($D13,master_food_list,'Master Food List'!S$91,FALSE)))</f>
        <v>0</v>
      </c>
      <c r="K13" s="292">
        <f ca="1">IF(J13="","",(VLOOKUP($D13,master_food_list,'Master Food List'!T$91,FALSE)))</f>
        <v>170</v>
      </c>
      <c r="M13" s="248" t="s">
        <v>481</v>
      </c>
      <c r="N13" s="249">
        <v>7</v>
      </c>
    </row>
    <row r="14" spans="1:16" s="189" customFormat="1" x14ac:dyDescent="0.2">
      <c r="A14" s="282">
        <v>1</v>
      </c>
      <c r="B14" s="283" t="s">
        <v>463</v>
      </c>
      <c r="C14" s="283" t="s">
        <v>460</v>
      </c>
      <c r="D14" s="285"/>
      <c r="E14" s="292" t="str">
        <f>IF(D14="","",(VLOOKUP($D14,master_food_list,'Master Food List'!N$91,FALSE)))</f>
        <v/>
      </c>
      <c r="F14" s="292" t="str">
        <f>IF(E14="","",(VLOOKUP($D14,master_food_list,'Master Food List'!O$91,FALSE)))</f>
        <v/>
      </c>
      <c r="G14" s="292" t="str">
        <f>IF(F14="","",(VLOOKUP($D14,master_food_list,'Master Food List'!P$91,FALSE)))</f>
        <v/>
      </c>
      <c r="H14" s="292" t="str">
        <f>IF(G14="","",(VLOOKUP($D14,master_food_list,'Master Food List'!Q$91,FALSE)))</f>
        <v/>
      </c>
      <c r="I14" s="292" t="str">
        <f>IF(H14="","",(VLOOKUP($D14,master_food_list,'Master Food List'!R$91,FALSE)))</f>
        <v/>
      </c>
      <c r="J14" s="292" t="str">
        <f>IF(I14="","",(VLOOKUP($D14,master_food_list,'Master Food List'!S$91,FALSE)))</f>
        <v/>
      </c>
      <c r="K14" s="292" t="str">
        <f>IF(J14="","",(VLOOKUP($D14,master_food_list,'Master Food List'!T$91,FALSE)))</f>
        <v/>
      </c>
      <c r="M14" s="244" t="s">
        <v>414</v>
      </c>
      <c r="N14" s="245">
        <v>2</v>
      </c>
    </row>
    <row r="15" spans="1:16" s="189" customFormat="1" ht="32" x14ac:dyDescent="0.2">
      <c r="A15" s="282">
        <v>1</v>
      </c>
      <c r="B15" s="283" t="s">
        <v>463</v>
      </c>
      <c r="C15" s="283" t="s">
        <v>459</v>
      </c>
      <c r="D15" s="284" t="s">
        <v>354</v>
      </c>
      <c r="E15" s="292">
        <f ca="1">IF(D15="","",(VLOOKUP($D15,master_food_list,'Master Food List'!N$91,FALSE)))</f>
        <v>270</v>
      </c>
      <c r="F15" s="292">
        <f ca="1">IF(E15="","",(VLOOKUP($D15,master_food_list,'Master Food List'!O$91,FALSE)))</f>
        <v>72</v>
      </c>
      <c r="G15" s="292">
        <f ca="1">IF(F15="","",(VLOOKUP($D15,master_food_list,'Master Food List'!P$91,FALSE)))</f>
        <v>3</v>
      </c>
      <c r="H15" s="292">
        <f ca="1">IF(G15="","",(VLOOKUP($D15,master_food_list,'Master Food List'!Q$91,FALSE)))</f>
        <v>0</v>
      </c>
      <c r="I15" s="292">
        <f ca="1">IF(H15="","",(VLOOKUP($D15,master_food_list,'Master Food List'!R$91,FALSE)))</f>
        <v>0</v>
      </c>
      <c r="J15" s="292">
        <f ca="1">IF(I15="","",(VLOOKUP($D15,master_food_list,'Master Food List'!S$91,FALSE)))</f>
        <v>0</v>
      </c>
      <c r="K15" s="292">
        <f ca="1">IF(J15="","",(VLOOKUP($D15,master_food_list,'Master Food List'!T$91,FALSE)))</f>
        <v>112.5</v>
      </c>
      <c r="M15" s="248" t="s">
        <v>498</v>
      </c>
      <c r="N15" s="249">
        <v>3</v>
      </c>
    </row>
    <row r="16" spans="1:16" s="189" customFormat="1" x14ac:dyDescent="0.2">
      <c r="A16" s="282">
        <v>1</v>
      </c>
      <c r="B16" s="283" t="s">
        <v>463</v>
      </c>
      <c r="C16" s="283" t="s">
        <v>458</v>
      </c>
      <c r="D16" s="285" t="s">
        <v>336</v>
      </c>
      <c r="E16" s="292">
        <f ca="1">IF(D16="","",(VLOOKUP($D16,master_food_list,'Master Food List'!N$91,FALSE)))</f>
        <v>575</v>
      </c>
      <c r="F16" s="292">
        <f ca="1">IF(E16="","",(VLOOKUP($D16,master_food_list,'Master Food List'!O$91,FALSE)))</f>
        <v>77.5</v>
      </c>
      <c r="G16" s="292">
        <f ca="1">IF(F16="","",(VLOOKUP($D16,master_food_list,'Master Food List'!P$91,FALSE)))</f>
        <v>30</v>
      </c>
      <c r="H16" s="292">
        <f ca="1">IF(G16="","",(VLOOKUP($D16,master_food_list,'Master Food List'!Q$91,FALSE)))</f>
        <v>15</v>
      </c>
      <c r="I16" s="292">
        <f ca="1">IF(H16="","",(VLOOKUP($D16,master_food_list,'Master Food List'!R$91,FALSE)))</f>
        <v>1950</v>
      </c>
      <c r="J16" s="292">
        <f ca="1">IF(I16="","",(VLOOKUP($D16,master_food_list,'Master Food List'!S$91,FALSE)))</f>
        <v>0</v>
      </c>
      <c r="K16" s="292">
        <f ca="1">IF(J16="","",(VLOOKUP($D16,master_food_list,'Master Food List'!T$91,FALSE)))</f>
        <v>117.2870984191739</v>
      </c>
      <c r="M16" s="194" t="s">
        <v>461</v>
      </c>
      <c r="N16" s="245"/>
    </row>
    <row r="17" spans="1:14" s="189" customFormat="1" x14ac:dyDescent="0.2">
      <c r="A17" s="282">
        <v>1</v>
      </c>
      <c r="B17" s="283" t="s">
        <v>463</v>
      </c>
      <c r="C17" s="283" t="s">
        <v>457</v>
      </c>
      <c r="D17" s="285" t="s">
        <v>479</v>
      </c>
      <c r="E17" s="292">
        <f ca="1">IF(D17="","",(VLOOKUP($D17,master_food_list,'Master Food List'!N$91,FALSE)))</f>
        <v>300</v>
      </c>
      <c r="F17" s="292">
        <f ca="1">IF(E17="","",(VLOOKUP($D17,master_food_list,'Master Food List'!O$91,FALSE)))</f>
        <v>10.5</v>
      </c>
      <c r="G17" s="292">
        <f ca="1">IF(F17="","",(VLOOKUP($D17,master_food_list,'Master Food List'!P$91,FALSE)))</f>
        <v>10.5</v>
      </c>
      <c r="H17" s="292">
        <f ca="1">IF(G17="","",(VLOOKUP($D17,master_food_list,'Master Food List'!Q$91,FALSE)))</f>
        <v>25.5</v>
      </c>
      <c r="I17" s="292">
        <f ca="1">IF(H17="","",(VLOOKUP($D17,master_food_list,'Master Food List'!R$91,FALSE)))</f>
        <v>150</v>
      </c>
      <c r="J17" s="292">
        <f ca="1">IF(I17="","",(VLOOKUP($D17,master_food_list,'Master Food List'!S$91,FALSE)))</f>
        <v>0</v>
      </c>
      <c r="K17" s="292">
        <f ca="1">IF(J17="","",(VLOOKUP($D17,master_food_list,'Master Food List'!T$91,FALSE)))</f>
        <v>177.77777777777777</v>
      </c>
      <c r="M17" s="248" t="s">
        <v>354</v>
      </c>
      <c r="N17" s="249">
        <v>2</v>
      </c>
    </row>
    <row r="18" spans="1:14" s="189" customFormat="1" x14ac:dyDescent="0.2">
      <c r="A18" s="282">
        <v>1</v>
      </c>
      <c r="B18" s="283" t="s">
        <v>463</v>
      </c>
      <c r="C18" s="283" t="s">
        <v>455</v>
      </c>
      <c r="D18" s="285" t="s">
        <v>478</v>
      </c>
      <c r="E18" s="292">
        <f ca="1">IF(D18="","",(VLOOKUP($D18,master_food_list,'Master Food List'!N$91,FALSE)))</f>
        <v>540</v>
      </c>
      <c r="F18" s="292">
        <f ca="1">IF(E18="","",(VLOOKUP($D18,master_food_list,'Master Food List'!O$91,FALSE)))</f>
        <v>105</v>
      </c>
      <c r="G18" s="292">
        <f ca="1">IF(F18="","",(VLOOKUP($D18,master_food_list,'Master Food List'!P$91,FALSE)))</f>
        <v>6</v>
      </c>
      <c r="H18" s="292">
        <f ca="1">IF(G18="","",(VLOOKUP($D18,master_food_list,'Master Food List'!Q$91,FALSE)))</f>
        <v>12</v>
      </c>
      <c r="I18" s="292">
        <f ca="1">IF(H18="","",(VLOOKUP($D18,master_food_list,'Master Food List'!R$91,FALSE)))</f>
        <v>240</v>
      </c>
      <c r="J18" s="292">
        <f ca="1">IF(I18="","",(VLOOKUP($D18,master_food_list,'Master Food List'!S$91,FALSE)))</f>
        <v>0</v>
      </c>
      <c r="K18" s="292">
        <f ca="1">IF(J18="","",(VLOOKUP($D18,master_food_list,'Master Food List'!T$91,FALSE)))</f>
        <v>117.64705882352942</v>
      </c>
      <c r="M18" s="248" t="s">
        <v>522</v>
      </c>
      <c r="N18" s="249">
        <v>1</v>
      </c>
    </row>
    <row r="19" spans="1:14" customFormat="1" x14ac:dyDescent="0.2">
      <c r="A19" s="286">
        <v>2</v>
      </c>
      <c r="B19" s="287" t="s">
        <v>463</v>
      </c>
      <c r="C19" s="287" t="s">
        <v>462</v>
      </c>
      <c r="D19" s="288" t="s">
        <v>481</v>
      </c>
      <c r="E19" s="293">
        <f ca="1">IF(D19="","",(VLOOKUP($D19,master_food_list,'Master Food List'!N$91,FALSE)))</f>
        <v>400</v>
      </c>
      <c r="F19" s="293">
        <f ca="1">IF(E19="","",(VLOOKUP($D19,master_food_list,'Master Food List'!O$91,FALSE)))</f>
        <v>72</v>
      </c>
      <c r="G19" s="293">
        <f ca="1">IF(F19="","",(VLOOKUP($D19,master_food_list,'Master Food List'!P$91,FALSE)))</f>
        <v>6</v>
      </c>
      <c r="H19" s="293">
        <f ca="1">IF(G19="","",(VLOOKUP($D19,master_food_list,'Master Food List'!Q$91,FALSE)))</f>
        <v>10</v>
      </c>
      <c r="I19" s="293">
        <f ca="1">IF(H19="","",(VLOOKUP($D19,master_food_list,'Master Food List'!R$91,FALSE)))</f>
        <v>420</v>
      </c>
      <c r="J19" s="293">
        <f ca="1">IF(I19="","",(VLOOKUP($D19,master_food_list,'Master Food List'!S$91,FALSE)))</f>
        <v>0</v>
      </c>
      <c r="K19" s="293">
        <f ca="1">IF(J19="","",(VLOOKUP($D19,master_food_list,'Master Food List'!T$91,FALSE)))</f>
        <v>109.09090909090909</v>
      </c>
      <c r="M19" s="244" t="s">
        <v>396</v>
      </c>
      <c r="N19" s="245">
        <v>2</v>
      </c>
    </row>
    <row r="20" spans="1:14" customFormat="1" ht="32" x14ac:dyDescent="0.2">
      <c r="A20" s="286">
        <v>2</v>
      </c>
      <c r="B20" s="287" t="s">
        <v>463</v>
      </c>
      <c r="C20" s="287" t="s">
        <v>461</v>
      </c>
      <c r="D20" s="288" t="s">
        <v>396</v>
      </c>
      <c r="E20" s="293">
        <f ca="1">IF(D20="","",(VLOOKUP($D20,master_food_list,'Master Food List'!N$91,FALSE)))</f>
        <v>270</v>
      </c>
      <c r="F20" s="293">
        <f ca="1">IF(E20="","",(VLOOKUP($D20,master_food_list,'Master Food List'!O$91,FALSE)))</f>
        <v>30</v>
      </c>
      <c r="G20" s="293">
        <f ca="1">IF(F20="","",(VLOOKUP($D20,master_food_list,'Master Food List'!P$91,FALSE)))</f>
        <v>20</v>
      </c>
      <c r="H20" s="293">
        <f ca="1">IF(G20="","",(VLOOKUP($D20,master_food_list,'Master Food List'!Q$91,FALSE)))</f>
        <v>9</v>
      </c>
      <c r="I20" s="293">
        <f ca="1">IF(H20="","",(VLOOKUP($D20,master_food_list,'Master Food List'!R$91,FALSE)))</f>
        <v>200</v>
      </c>
      <c r="J20" s="293">
        <f ca="1">IF(I20="","",(VLOOKUP($D20,master_food_list,'Master Food List'!S$91,FALSE)))</f>
        <v>0</v>
      </c>
      <c r="K20" s="293">
        <f ca="1">IF(J20="","",(VLOOKUP($D20,master_food_list,'Master Food List'!T$91,FALSE)))</f>
        <v>112.5</v>
      </c>
      <c r="M20" s="248" t="s">
        <v>333</v>
      </c>
      <c r="N20" s="249">
        <v>4</v>
      </c>
    </row>
    <row r="21" spans="1:14" customFormat="1" x14ac:dyDescent="0.2">
      <c r="A21" s="286">
        <v>2</v>
      </c>
      <c r="B21" s="287" t="s">
        <v>463</v>
      </c>
      <c r="C21" s="287" t="s">
        <v>460</v>
      </c>
      <c r="D21" s="289"/>
      <c r="E21" s="293" t="str">
        <f>IF(D21="","",(VLOOKUP($D21,master_food_list,'Master Food List'!N$91,FALSE)))</f>
        <v/>
      </c>
      <c r="F21" s="293" t="str">
        <f>IF(E21="","",(VLOOKUP($D21,master_food_list,'Master Food List'!O$91,FALSE)))</f>
        <v/>
      </c>
      <c r="G21" s="293" t="str">
        <f>IF(F21="","",(VLOOKUP($D21,master_food_list,'Master Food List'!P$91,FALSE)))</f>
        <v/>
      </c>
      <c r="H21" s="293" t="str">
        <f>IF(G21="","",(VLOOKUP($D21,master_food_list,'Master Food List'!Q$91,FALSE)))</f>
        <v/>
      </c>
      <c r="I21" s="293" t="str">
        <f>IF(H21="","",(VLOOKUP($D21,master_food_list,'Master Food List'!R$91,FALSE)))</f>
        <v/>
      </c>
      <c r="J21" s="293" t="str">
        <f>IF(I21="","",(VLOOKUP($D21,master_food_list,'Master Food List'!S$91,FALSE)))</f>
        <v/>
      </c>
      <c r="K21" s="293" t="str">
        <f>IF(J21="","",(VLOOKUP($D21,master_food_list,'Master Food List'!T$91,FALSE)))</f>
        <v/>
      </c>
      <c r="M21" s="248" t="s">
        <v>495</v>
      </c>
      <c r="N21" s="249">
        <v>1</v>
      </c>
    </row>
    <row r="22" spans="1:14" customFormat="1" ht="32" x14ac:dyDescent="0.2">
      <c r="A22" s="286">
        <v>2</v>
      </c>
      <c r="B22" s="287" t="s">
        <v>463</v>
      </c>
      <c r="C22" s="287" t="s">
        <v>459</v>
      </c>
      <c r="D22" s="288" t="s">
        <v>327</v>
      </c>
      <c r="E22" s="293">
        <f ca="1">IF(D22="","",(VLOOKUP($D22,master_food_list,'Master Food List'!N$91,FALSE)))</f>
        <v>130</v>
      </c>
      <c r="F22" s="293">
        <f ca="1">IF(E22="","",(VLOOKUP($D22,master_food_list,'Master Food List'!O$91,FALSE)))</f>
        <v>8</v>
      </c>
      <c r="G22" s="293">
        <f ca="1">IF(F22="","",(VLOOKUP($D22,master_food_list,'Master Food List'!P$91,FALSE)))</f>
        <v>7</v>
      </c>
      <c r="H22" s="293">
        <f ca="1">IF(G22="","",(VLOOKUP($D22,master_food_list,'Master Food List'!Q$91,FALSE)))</f>
        <v>8</v>
      </c>
      <c r="I22" s="293">
        <f ca="1">IF(H22="","",(VLOOKUP($D22,master_food_list,'Master Food List'!R$91,FALSE)))</f>
        <v>320</v>
      </c>
      <c r="J22" s="293">
        <f ca="1">IF(I22="","",(VLOOKUP($D22,master_food_list,'Master Food List'!S$91,FALSE)))</f>
        <v>0</v>
      </c>
      <c r="K22" s="293">
        <f ca="1">IF(J22="","",(VLOOKUP($D22,master_food_list,'Master Food List'!T$91,FALSE)))</f>
        <v>99.999999999999986</v>
      </c>
      <c r="M22" s="244" t="s">
        <v>327</v>
      </c>
      <c r="N22" s="245">
        <v>2</v>
      </c>
    </row>
    <row r="23" spans="1:14" customFormat="1" x14ac:dyDescent="0.2">
      <c r="A23" s="286">
        <v>2</v>
      </c>
      <c r="B23" s="287" t="s">
        <v>463</v>
      </c>
      <c r="C23" s="287" t="s">
        <v>458</v>
      </c>
      <c r="D23" s="289" t="s">
        <v>449</v>
      </c>
      <c r="E23" s="293">
        <f ca="1">IF(D23="","",(VLOOKUP($D23,master_food_list,'Master Food List'!N$91,FALSE)))</f>
        <v>520</v>
      </c>
      <c r="F23" s="293">
        <f ca="1">IF(E23="","",(VLOOKUP($D23,master_food_list,'Master Food List'!O$91,FALSE)))</f>
        <v>104</v>
      </c>
      <c r="G23" s="293">
        <f ca="1">IF(F23="","",(VLOOKUP($D23,master_food_list,'Master Food List'!P$91,FALSE)))</f>
        <v>22</v>
      </c>
      <c r="H23" s="293">
        <f ca="1">IF(G23="","",(VLOOKUP($D23,master_food_list,'Master Food List'!Q$91,FALSE)))</f>
        <v>6</v>
      </c>
      <c r="I23" s="293">
        <f ca="1">IF(H23="","",(VLOOKUP($D23,master_food_list,'Master Food List'!R$91,FALSE)))</f>
        <v>1360</v>
      </c>
      <c r="J23" s="293">
        <f ca="1">IF(I23="","",(VLOOKUP($D23,master_food_list,'Master Food List'!S$91,FALSE)))</f>
        <v>0</v>
      </c>
      <c r="K23" s="293">
        <f ca="1">IF(J23="","",(VLOOKUP($D23,master_food_list,'Master Food List'!T$91,FALSE)))</f>
        <v>92.857142857142861</v>
      </c>
      <c r="M23" s="244" t="s">
        <v>325</v>
      </c>
      <c r="N23" s="245">
        <v>2</v>
      </c>
    </row>
    <row r="24" spans="1:14" customFormat="1" x14ac:dyDescent="0.2">
      <c r="A24" s="286">
        <v>2</v>
      </c>
      <c r="B24" s="287" t="s">
        <v>463</v>
      </c>
      <c r="C24" s="287" t="s">
        <v>457</v>
      </c>
      <c r="D24" s="289" t="s">
        <v>479</v>
      </c>
      <c r="E24" s="293">
        <f ca="1">IF(D24="","",(VLOOKUP($D24,master_food_list,'Master Food List'!N$91,FALSE)))</f>
        <v>300</v>
      </c>
      <c r="F24" s="293">
        <f ca="1">IF(E24="","",(VLOOKUP($D24,master_food_list,'Master Food List'!O$91,FALSE)))</f>
        <v>10.5</v>
      </c>
      <c r="G24" s="293">
        <f ca="1">IF(F24="","",(VLOOKUP($D24,master_food_list,'Master Food List'!P$91,FALSE)))</f>
        <v>10.5</v>
      </c>
      <c r="H24" s="293">
        <f ca="1">IF(G24="","",(VLOOKUP($D24,master_food_list,'Master Food List'!Q$91,FALSE)))</f>
        <v>25.5</v>
      </c>
      <c r="I24" s="293">
        <f ca="1">IF(H24="","",(VLOOKUP($D24,master_food_list,'Master Food List'!R$91,FALSE)))</f>
        <v>150</v>
      </c>
      <c r="J24" s="293">
        <f ca="1">IF(I24="","",(VLOOKUP($D24,master_food_list,'Master Food List'!S$91,FALSE)))</f>
        <v>0</v>
      </c>
      <c r="K24" s="293">
        <f ca="1">IF(J24="","",(VLOOKUP($D24,master_food_list,'Master Food List'!T$91,FALSE)))</f>
        <v>177.77777777777777</v>
      </c>
      <c r="M24" s="248" t="s">
        <v>433</v>
      </c>
      <c r="N24" s="249">
        <v>5</v>
      </c>
    </row>
    <row r="25" spans="1:14" customFormat="1" x14ac:dyDescent="0.2">
      <c r="A25" s="286">
        <v>2</v>
      </c>
      <c r="B25" s="287" t="s">
        <v>463</v>
      </c>
      <c r="C25" s="287" t="s">
        <v>455</v>
      </c>
      <c r="D25" s="289" t="s">
        <v>484</v>
      </c>
      <c r="E25" s="293">
        <f ca="1">IF(D25="","",(VLOOKUP($D25,master_food_list,'Master Food List'!N$91,FALSE)))</f>
        <v>540</v>
      </c>
      <c r="F25" s="293">
        <f ca="1">IF(E25="","",(VLOOKUP($D25,master_food_list,'Master Food List'!O$91,FALSE)))</f>
        <v>72</v>
      </c>
      <c r="G25" s="293">
        <f ca="1">IF(F25="","",(VLOOKUP($D25,master_food_list,'Master Food List'!P$91,FALSE)))</f>
        <v>14</v>
      </c>
      <c r="H25" s="293">
        <f ca="1">IF(G25="","",(VLOOKUP($D25,master_food_list,'Master Food List'!Q$91,FALSE)))</f>
        <v>22</v>
      </c>
      <c r="I25" s="293">
        <f ca="1">IF(H25="","",(VLOOKUP($D25,master_food_list,'Master Food List'!R$91,FALSE)))</f>
        <v>780</v>
      </c>
      <c r="J25" s="293">
        <f ca="1">IF(I25="","",(VLOOKUP($D25,master_food_list,'Master Food List'!S$91,FALSE)))</f>
        <v>0</v>
      </c>
      <c r="K25" s="293">
        <f ca="1">IF(J25="","",(VLOOKUP($D25,master_food_list,'Master Food List'!T$91,FALSE)))</f>
        <v>117.39130434782609</v>
      </c>
      <c r="M25" s="244" t="s">
        <v>414</v>
      </c>
      <c r="N25" s="245">
        <v>4</v>
      </c>
    </row>
    <row r="26" spans="1:14" customFormat="1" ht="32" x14ac:dyDescent="0.2">
      <c r="A26" s="286">
        <v>3</v>
      </c>
      <c r="B26" s="287" t="s">
        <v>463</v>
      </c>
      <c r="C26" s="287" t="s">
        <v>462</v>
      </c>
      <c r="D26" s="288" t="s">
        <v>485</v>
      </c>
      <c r="E26" s="293">
        <f ca="1">IF(D26="","",(VLOOKUP($D26,master_food_list,'Master Food List'!N$91,FALSE)))</f>
        <v>500</v>
      </c>
      <c r="F26" s="293">
        <f ca="1">IF(E26="","",(VLOOKUP($D26,master_food_list,'Master Food List'!O$91,FALSE)))</f>
        <v>74</v>
      </c>
      <c r="G26" s="293">
        <f ca="1">IF(F26="","",(VLOOKUP($D26,master_food_list,'Master Food List'!P$91,FALSE)))</f>
        <v>16</v>
      </c>
      <c r="H26" s="293">
        <f ca="1">IF(G26="","",(VLOOKUP($D26,master_food_list,'Master Food List'!Q$91,FALSE)))</f>
        <v>18</v>
      </c>
      <c r="I26" s="293">
        <f ca="1">IF(H26="","",(VLOOKUP($D26,master_food_list,'Master Food List'!R$91,FALSE)))</f>
        <v>130</v>
      </c>
      <c r="J26" s="293">
        <f ca="1">IF(I26="","",(VLOOKUP($D26,master_food_list,'Master Food List'!S$91,FALSE)))</f>
        <v>0</v>
      </c>
      <c r="K26" s="293">
        <f ca="1">IF(J26="","",(VLOOKUP($D26,master_food_list,'Master Food List'!T$91,FALSE)))</f>
        <v>126.55024044545685</v>
      </c>
      <c r="M26" s="248" t="s">
        <v>430</v>
      </c>
      <c r="N26" s="249">
        <v>7</v>
      </c>
    </row>
    <row r="27" spans="1:14" customFormat="1" ht="48" x14ac:dyDescent="0.2">
      <c r="A27" s="286">
        <v>3</v>
      </c>
      <c r="B27" s="287" t="s">
        <v>463</v>
      </c>
      <c r="C27" s="287" t="s">
        <v>461</v>
      </c>
      <c r="D27" s="288" t="s">
        <v>433</v>
      </c>
      <c r="E27" s="293">
        <f ca="1">IF(D27="","",(VLOOKUP($D27,master_food_list,'Master Food List'!N$91,FALSE)))</f>
        <v>280</v>
      </c>
      <c r="F27" s="293">
        <f ca="1">IF(E27="","",(VLOOKUP($D27,master_food_list,'Master Food List'!O$91,FALSE)))</f>
        <v>34</v>
      </c>
      <c r="G27" s="293">
        <f ca="1">IF(F27="","",(VLOOKUP($D27,master_food_list,'Master Food List'!P$91,FALSE)))</f>
        <v>2</v>
      </c>
      <c r="H27" s="293">
        <f ca="1">IF(G27="","",(VLOOKUP($D27,master_food_list,'Master Food List'!Q$91,FALSE)))</f>
        <v>17</v>
      </c>
      <c r="I27" s="293">
        <f ca="1">IF(H27="","",(VLOOKUP($D27,master_food_list,'Master Food List'!R$91,FALSE)))</f>
        <v>0</v>
      </c>
      <c r="J27" s="293">
        <f ca="1">IF(I27="","",(VLOOKUP($D27,master_food_list,'Master Food List'!S$91,FALSE)))</f>
        <v>0</v>
      </c>
      <c r="K27" s="293">
        <f ca="1">IF(J27="","",(VLOOKUP($D27,master_food_list,'Master Food List'!T$91,FALSE)))</f>
        <v>140</v>
      </c>
      <c r="M27" s="194" t="s">
        <v>460</v>
      </c>
      <c r="N27" s="245"/>
    </row>
    <row r="28" spans="1:14" customFormat="1" x14ac:dyDescent="0.2">
      <c r="A28" s="286">
        <v>3</v>
      </c>
      <c r="B28" s="287" t="s">
        <v>463</v>
      </c>
      <c r="C28" s="287" t="s">
        <v>460</v>
      </c>
      <c r="D28" s="289"/>
      <c r="E28" s="293" t="str">
        <f>IF(D28="","",(VLOOKUP($D28,master_food_list,'Master Food List'!N$91,FALSE)))</f>
        <v/>
      </c>
      <c r="F28" s="293" t="str">
        <f>IF(E28="","",(VLOOKUP($D28,master_food_list,'Master Food List'!O$91,FALSE)))</f>
        <v/>
      </c>
      <c r="G28" s="293" t="str">
        <f>IF(F28="","",(VLOOKUP($D28,master_food_list,'Master Food List'!P$91,FALSE)))</f>
        <v/>
      </c>
      <c r="H28" s="293" t="str">
        <f>IF(G28="","",(VLOOKUP($D28,master_food_list,'Master Food List'!Q$91,FALSE)))</f>
        <v/>
      </c>
      <c r="I28" s="293" t="str">
        <f>IF(H28="","",(VLOOKUP($D28,master_food_list,'Master Food List'!R$91,FALSE)))</f>
        <v/>
      </c>
      <c r="J28" s="293" t="str">
        <f>IF(I28="","",(VLOOKUP($D28,master_food_list,'Master Food List'!S$91,FALSE)))</f>
        <v/>
      </c>
      <c r="K28" s="293" t="str">
        <f>IF(J28="","",(VLOOKUP($D28,master_food_list,'Master Food List'!T$91,FALSE)))</f>
        <v/>
      </c>
      <c r="M28" s="248" t="s">
        <v>445</v>
      </c>
      <c r="N28" s="249">
        <v>1</v>
      </c>
    </row>
    <row r="29" spans="1:14" customFormat="1" ht="32" x14ac:dyDescent="0.2">
      <c r="A29" s="286">
        <v>3</v>
      </c>
      <c r="B29" s="287" t="s">
        <v>463</v>
      </c>
      <c r="C29" s="287" t="s">
        <v>459</v>
      </c>
      <c r="D29" s="288" t="s">
        <v>333</v>
      </c>
      <c r="E29" s="293">
        <f ca="1">IF(D29="","",(VLOOKUP($D29,master_food_list,'Master Food List'!N$91,FALSE)))</f>
        <v>325</v>
      </c>
      <c r="F29" s="293">
        <f ca="1">IF(E29="","",(VLOOKUP($D29,master_food_list,'Master Food List'!O$91,FALSE)))</f>
        <v>40</v>
      </c>
      <c r="G29" s="293">
        <f ca="1">IF(F29="","",(VLOOKUP($D29,master_food_list,'Master Food List'!P$91,FALSE)))</f>
        <v>2.5</v>
      </c>
      <c r="H29" s="293">
        <f ca="1">IF(G29="","",(VLOOKUP($D29,master_food_list,'Master Food List'!Q$91,FALSE)))</f>
        <v>17.5</v>
      </c>
      <c r="I29" s="293">
        <f ca="1">IF(H29="","",(VLOOKUP($D29,master_food_list,'Master Food List'!R$91,FALSE)))</f>
        <v>25</v>
      </c>
      <c r="J29" s="293">
        <f ca="1">IF(I29="","",(VLOOKUP($D29,master_food_list,'Master Food List'!S$91,FALSE)))</f>
        <v>0</v>
      </c>
      <c r="K29" s="293">
        <f ca="1">IF(J29="","",(VLOOKUP($D29,master_food_list,'Master Food List'!T$91,FALSE)))</f>
        <v>156.25</v>
      </c>
      <c r="M29" s="248" t="s">
        <v>495</v>
      </c>
      <c r="N29" s="249">
        <v>6</v>
      </c>
    </row>
    <row r="30" spans="1:14" customFormat="1" x14ac:dyDescent="0.2">
      <c r="A30" s="286">
        <v>3</v>
      </c>
      <c r="B30" s="287" t="s">
        <v>463</v>
      </c>
      <c r="C30" s="287" t="s">
        <v>458</v>
      </c>
      <c r="D30" s="289" t="s">
        <v>452</v>
      </c>
      <c r="E30" s="293">
        <f ca="1">IF(D30="","",(VLOOKUP($D30,master_food_list,'Master Food List'!N$91,FALSE)))</f>
        <v>620</v>
      </c>
      <c r="F30" s="293">
        <f ca="1">IF(E30="","",(VLOOKUP($D30,master_food_list,'Master Food List'!O$91,FALSE)))</f>
        <v>124</v>
      </c>
      <c r="G30" s="293">
        <f ca="1">IF(F30="","",(VLOOKUP($D30,master_food_list,'Master Food List'!P$91,FALSE)))</f>
        <v>22</v>
      </c>
      <c r="H30" s="293">
        <f ca="1">IF(G30="","",(VLOOKUP($D30,master_food_list,'Master Food List'!Q$91,FALSE)))</f>
        <v>7</v>
      </c>
      <c r="I30" s="293">
        <f ca="1">IF(H30="","",(VLOOKUP($D30,master_food_list,'Master Food List'!R$91,FALSE)))</f>
        <v>360</v>
      </c>
      <c r="J30" s="293">
        <f ca="1">IF(I30="","",(VLOOKUP($D30,master_food_list,'Master Food List'!S$91,FALSE)))</f>
        <v>0</v>
      </c>
      <c r="K30" s="293">
        <f ca="1">IF(J30="","",(VLOOKUP($D30,master_food_list,'Master Food List'!T$91,FALSE)))</f>
        <v>103.33333333333333</v>
      </c>
      <c r="M30" s="246" t="s">
        <v>516</v>
      </c>
      <c r="N30" s="247"/>
    </row>
    <row r="31" spans="1:14" customFormat="1" x14ac:dyDescent="0.2">
      <c r="A31" s="286">
        <v>3</v>
      </c>
      <c r="B31" s="287" t="s">
        <v>463</v>
      </c>
      <c r="C31" s="287" t="s">
        <v>457</v>
      </c>
      <c r="D31" s="289" t="s">
        <v>479</v>
      </c>
      <c r="E31" s="293">
        <f ca="1">IF(D31="","",(VLOOKUP($D31,master_food_list,'Master Food List'!N$91,FALSE)))</f>
        <v>300</v>
      </c>
      <c r="F31" s="293">
        <f ca="1">IF(E31="","",(VLOOKUP($D31,master_food_list,'Master Food List'!O$91,FALSE)))</f>
        <v>10.5</v>
      </c>
      <c r="G31" s="293">
        <f ca="1">IF(F31="","",(VLOOKUP($D31,master_food_list,'Master Food List'!P$91,FALSE)))</f>
        <v>10.5</v>
      </c>
      <c r="H31" s="293">
        <f ca="1">IF(G31="","",(VLOOKUP($D31,master_food_list,'Master Food List'!Q$91,FALSE)))</f>
        <v>25.5</v>
      </c>
      <c r="I31" s="293">
        <f ca="1">IF(H31="","",(VLOOKUP($D31,master_food_list,'Master Food List'!R$91,FALSE)))</f>
        <v>150</v>
      </c>
      <c r="J31" s="293">
        <f ca="1">IF(I31="","",(VLOOKUP($D31,master_food_list,'Master Food List'!S$91,FALSE)))</f>
        <v>0</v>
      </c>
      <c r="K31" s="293">
        <f ca="1">IF(J31="","",(VLOOKUP($D31,master_food_list,'Master Food List'!T$91,FALSE)))</f>
        <v>177.77777777777777</v>
      </c>
      <c r="M31" s="194" t="s">
        <v>459</v>
      </c>
      <c r="N31" s="245"/>
    </row>
    <row r="32" spans="1:14" customFormat="1" x14ac:dyDescent="0.2">
      <c r="A32" s="286">
        <v>3</v>
      </c>
      <c r="B32" s="287" t="s">
        <v>463</v>
      </c>
      <c r="C32" s="287" t="s">
        <v>455</v>
      </c>
      <c r="D32" s="289" t="s">
        <v>505</v>
      </c>
      <c r="E32" s="293">
        <f ca="1">IF(D32="","",(VLOOKUP($D32,master_food_list,'Master Food List'!N$91,FALSE)))</f>
        <v>500</v>
      </c>
      <c r="F32" s="293">
        <f ca="1">IF(E32="","",(VLOOKUP($D32,master_food_list,'Master Food List'!O$91,FALSE)))</f>
        <v>108</v>
      </c>
      <c r="G32" s="293">
        <f ca="1">IF(F32="","",(VLOOKUP($D32,master_food_list,'Master Food List'!P$91,FALSE)))</f>
        <v>10</v>
      </c>
      <c r="H32" s="293">
        <f ca="1">IF(G32="","",(VLOOKUP($D32,master_food_list,'Master Food List'!Q$91,FALSE)))</f>
        <v>5</v>
      </c>
      <c r="I32" s="293">
        <f ca="1">IF(H32="","",(VLOOKUP($D32,master_food_list,'Master Food List'!R$91,FALSE)))</f>
        <v>680</v>
      </c>
      <c r="J32" s="293">
        <f ca="1">IF(I32="","",(VLOOKUP($D32,master_food_list,'Master Food List'!S$91,FALSE)))</f>
        <v>0</v>
      </c>
      <c r="K32" s="293">
        <f ca="1">IF(J32="","",(VLOOKUP($D32,master_food_list,'Master Food List'!T$91,FALSE)))</f>
        <v>111.11111111111111</v>
      </c>
      <c r="M32" s="248" t="s">
        <v>354</v>
      </c>
      <c r="N32" s="249">
        <v>2</v>
      </c>
    </row>
    <row r="33" spans="1:14" s="189" customFormat="1" ht="32" x14ac:dyDescent="0.2">
      <c r="A33" s="290">
        <v>4</v>
      </c>
      <c r="B33" s="283" t="s">
        <v>463</v>
      </c>
      <c r="C33" s="283" t="s">
        <v>462</v>
      </c>
      <c r="D33" s="284" t="s">
        <v>480</v>
      </c>
      <c r="E33" s="292">
        <f ca="1">IF(D33="","",(VLOOKUP($D33,master_food_list,'Master Food List'!N$91,FALSE)))</f>
        <v>620</v>
      </c>
      <c r="F33" s="292">
        <f ca="1">IF(E33="","",(VLOOKUP($D33,master_food_list,'Master Food List'!O$91,FALSE)))</f>
        <v>74</v>
      </c>
      <c r="G33" s="292">
        <f ca="1">IF(F33="","",(VLOOKUP($D33,master_food_list,'Master Food List'!P$91,FALSE)))</f>
        <v>16</v>
      </c>
      <c r="H33" s="292">
        <f ca="1">IF(G33="","",(VLOOKUP($D33,master_food_list,'Master Food List'!Q$91,FALSE)))</f>
        <v>31</v>
      </c>
      <c r="I33" s="292">
        <f ca="1">IF(H33="","",(VLOOKUP($D33,master_food_list,'Master Food List'!R$91,FALSE)))</f>
        <v>280</v>
      </c>
      <c r="J33" s="292">
        <f ca="1">IF(I33="","",(VLOOKUP($D33,master_food_list,'Master Food List'!S$91,FALSE)))</f>
        <v>0</v>
      </c>
      <c r="K33" s="292">
        <f ca="1">IF(J33="","",(VLOOKUP($D33,master_food_list,'Master Food List'!T$91,FALSE)))</f>
        <v>130.52631578947367</v>
      </c>
      <c r="M33" s="248" t="s">
        <v>347</v>
      </c>
      <c r="N33" s="249">
        <v>5</v>
      </c>
    </row>
    <row r="34" spans="1:14" s="189" customFormat="1" ht="48" x14ac:dyDescent="0.2">
      <c r="A34" s="282">
        <v>4</v>
      </c>
      <c r="B34" s="283" t="s">
        <v>463</v>
      </c>
      <c r="C34" s="283" t="s">
        <v>461</v>
      </c>
      <c r="D34" s="284" t="s">
        <v>430</v>
      </c>
      <c r="E34" s="292">
        <f ca="1">IF(D34="","",(VLOOKUP($D34,master_food_list,'Master Food List'!N$91,FALSE)))</f>
        <v>510</v>
      </c>
      <c r="F34" s="292">
        <f ca="1">IF(E34="","",(VLOOKUP($D34,master_food_list,'Master Food List'!O$91,FALSE)))</f>
        <v>42</v>
      </c>
      <c r="G34" s="292">
        <f ca="1">IF(F34="","",(VLOOKUP($D34,master_food_list,'Master Food List'!P$91,FALSE)))</f>
        <v>10.5</v>
      </c>
      <c r="H34" s="292">
        <f ca="1">IF(G34="","",(VLOOKUP($D34,master_food_list,'Master Food List'!Q$91,FALSE)))</f>
        <v>33</v>
      </c>
      <c r="I34" s="292">
        <f ca="1">IF(H34="","",(VLOOKUP($D34,master_food_list,'Master Food List'!R$91,FALSE)))</f>
        <v>75</v>
      </c>
      <c r="J34" s="292">
        <f ca="1">IF(I34="","",(VLOOKUP($D34,master_food_list,'Master Food List'!S$91,FALSE)))</f>
        <v>0</v>
      </c>
      <c r="K34" s="292">
        <f ca="1">IF(J34="","",(VLOOKUP($D34,master_food_list,'Master Food List'!T$91,FALSE)))</f>
        <v>170</v>
      </c>
      <c r="M34" s="248" t="s">
        <v>522</v>
      </c>
      <c r="N34" s="249">
        <v>7</v>
      </c>
    </row>
    <row r="35" spans="1:14" s="189" customFormat="1" x14ac:dyDescent="0.2">
      <c r="A35" s="282">
        <v>4</v>
      </c>
      <c r="B35" s="283" t="s">
        <v>463</v>
      </c>
      <c r="C35" s="283" t="s">
        <v>460</v>
      </c>
      <c r="D35" s="285"/>
      <c r="E35" s="292" t="str">
        <f>IF(D35="","",(VLOOKUP($D35,master_food_list,'Master Food List'!N$91,FALSE)))</f>
        <v/>
      </c>
      <c r="F35" s="292" t="str">
        <f>IF(E35="","",(VLOOKUP($D35,master_food_list,'Master Food List'!O$91,FALSE)))</f>
        <v/>
      </c>
      <c r="G35" s="292" t="str">
        <f>IF(F35="","",(VLOOKUP($D35,master_food_list,'Master Food List'!P$91,FALSE)))</f>
        <v/>
      </c>
      <c r="H35" s="292" t="str">
        <f>IF(G35="","",(VLOOKUP($D35,master_food_list,'Master Food List'!Q$91,FALSE)))</f>
        <v/>
      </c>
      <c r="I35" s="292" t="str">
        <f>IF(H35="","",(VLOOKUP($D35,master_food_list,'Master Food List'!R$91,FALSE)))</f>
        <v/>
      </c>
      <c r="J35" s="292" t="str">
        <f>IF(I35="","",(VLOOKUP($D35,master_food_list,'Master Food List'!S$91,FALSE)))</f>
        <v/>
      </c>
      <c r="K35" s="292" t="str">
        <f>IF(J35="","",(VLOOKUP($D35,master_food_list,'Master Food List'!T$91,FALSE)))</f>
        <v/>
      </c>
      <c r="M35" s="244" t="s">
        <v>396</v>
      </c>
      <c r="N35" s="245">
        <v>2</v>
      </c>
    </row>
    <row r="36" spans="1:14" s="189" customFormat="1" ht="32" x14ac:dyDescent="0.2">
      <c r="A36" s="282">
        <v>4</v>
      </c>
      <c r="B36" s="283" t="s">
        <v>463</v>
      </c>
      <c r="C36" s="283" t="s">
        <v>459</v>
      </c>
      <c r="D36" s="284" t="s">
        <v>347</v>
      </c>
      <c r="E36" s="292">
        <f ca="1">IF(D36="","",(VLOOKUP($D36,master_food_list,'Master Food List'!N$91,FALSE)))</f>
        <v>665</v>
      </c>
      <c r="F36" s="292">
        <f ca="1">IF(E36="","",(VLOOKUP($D36,master_food_list,'Master Food List'!O$91,FALSE)))</f>
        <v>0</v>
      </c>
      <c r="G36" s="292">
        <f ca="1">IF(F36="","",(VLOOKUP($D36,master_food_list,'Master Food List'!P$91,FALSE)))</f>
        <v>35</v>
      </c>
      <c r="H36" s="292">
        <f ca="1">IF(G36="","",(VLOOKUP($D36,master_food_list,'Master Food List'!Q$91,FALSE)))</f>
        <v>56</v>
      </c>
      <c r="I36" s="292">
        <f ca="1">IF(H36="","",(VLOOKUP($D36,master_food_list,'Master Food List'!R$91,FALSE)))</f>
        <v>2415</v>
      </c>
      <c r="J36" s="292">
        <f ca="1">IF(I36="","",(VLOOKUP($D36,master_food_list,'Master Food List'!S$91,FALSE)))</f>
        <v>0</v>
      </c>
      <c r="K36" s="292">
        <f ca="1">IF(J36="","",(VLOOKUP($D36,master_food_list,'Master Food List'!T$91,FALSE)))</f>
        <v>180.70652173913044</v>
      </c>
      <c r="M36" s="248" t="s">
        <v>333</v>
      </c>
      <c r="N36" s="249">
        <v>2</v>
      </c>
    </row>
    <row r="37" spans="1:14" s="189" customFormat="1" ht="17" x14ac:dyDescent="0.2">
      <c r="A37" s="282">
        <v>4</v>
      </c>
      <c r="B37" s="283" t="s">
        <v>463</v>
      </c>
      <c r="C37" s="283" t="s">
        <v>458</v>
      </c>
      <c r="D37" s="285" t="s">
        <v>294</v>
      </c>
      <c r="E37" s="292">
        <f ca="1">IF(D37="","",(VLOOKUP($D37,master_food_list,'Master Food List'!N$91,FALSE)))</f>
        <v>960</v>
      </c>
      <c r="F37" s="292">
        <f ca="1">IF(E37="","",(VLOOKUP($D37,master_food_list,'Master Food List'!O$91,FALSE)))</f>
        <v>93</v>
      </c>
      <c r="G37" s="292">
        <f ca="1">IF(F37="","",(VLOOKUP($D37,master_food_list,'Master Food List'!P$91,FALSE)))</f>
        <v>39</v>
      </c>
      <c r="H37" s="292">
        <f ca="1">IF(G37="","",(VLOOKUP($D37,master_food_list,'Master Food List'!Q$91,FALSE)))</f>
        <v>45</v>
      </c>
      <c r="I37" s="292">
        <f ca="1">IF(H37="","",(VLOOKUP($D37,master_food_list,'Master Food List'!R$91,FALSE)))</f>
        <v>2040</v>
      </c>
      <c r="J37" s="292">
        <f ca="1">IF(I37="","",(VLOOKUP($D37,master_food_list,'Master Food List'!S$91,FALSE)))</f>
        <v>0</v>
      </c>
      <c r="K37" s="292">
        <f ca="1">IF(J37="","",(VLOOKUP($D37,master_food_list,'Master Food List'!T$91,FALSE)))</f>
        <v>141.03819784524975</v>
      </c>
      <c r="M37" s="244" t="s">
        <v>327</v>
      </c>
      <c r="N37" s="245">
        <v>3</v>
      </c>
    </row>
    <row r="38" spans="1:14" s="189" customFormat="1" ht="17" x14ac:dyDescent="0.2">
      <c r="A38" s="282">
        <v>4</v>
      </c>
      <c r="B38" s="283" t="s">
        <v>463</v>
      </c>
      <c r="C38" s="283" t="s">
        <v>457</v>
      </c>
      <c r="D38" s="285" t="s">
        <v>479</v>
      </c>
      <c r="E38" s="292">
        <f ca="1">IF(D38="","",(VLOOKUP($D38,master_food_list,'Master Food List'!N$91,FALSE)))</f>
        <v>300</v>
      </c>
      <c r="F38" s="292">
        <f ca="1">IF(E38="","",(VLOOKUP($D38,master_food_list,'Master Food List'!O$91,FALSE)))</f>
        <v>10.5</v>
      </c>
      <c r="G38" s="292">
        <f ca="1">IF(F38="","",(VLOOKUP($D38,master_food_list,'Master Food List'!P$91,FALSE)))</f>
        <v>10.5</v>
      </c>
      <c r="H38" s="292">
        <f ca="1">IF(G38="","",(VLOOKUP($D38,master_food_list,'Master Food List'!Q$91,FALSE)))</f>
        <v>25.5</v>
      </c>
      <c r="I38" s="292">
        <f ca="1">IF(H38="","",(VLOOKUP($D38,master_food_list,'Master Food List'!R$91,FALSE)))</f>
        <v>150</v>
      </c>
      <c r="J38" s="292">
        <f ca="1">IF(I38="","",(VLOOKUP($D38,master_food_list,'Master Food List'!S$91,FALSE)))</f>
        <v>0</v>
      </c>
      <c r="K38" s="292">
        <f ca="1">IF(J38="","",(VLOOKUP($D38,master_food_list,'Master Food List'!T$91,FALSE)))</f>
        <v>177.77777777777777</v>
      </c>
      <c r="M38" s="244" t="s">
        <v>325</v>
      </c>
      <c r="N38" s="245">
        <v>3</v>
      </c>
    </row>
    <row r="39" spans="1:14" s="189" customFormat="1" ht="17" x14ac:dyDescent="0.2">
      <c r="A39" s="282">
        <v>4</v>
      </c>
      <c r="B39" s="283" t="s">
        <v>463</v>
      </c>
      <c r="C39" s="283" t="s">
        <v>455</v>
      </c>
      <c r="D39" s="285" t="s">
        <v>313</v>
      </c>
      <c r="E39" s="292">
        <f ca="1">IF(D39="","",(VLOOKUP($D39,master_food_list,'Master Food List'!N$91,FALSE)))</f>
        <v>170</v>
      </c>
      <c r="F39" s="292">
        <f ca="1">IF(E39="","",(VLOOKUP($D39,master_food_list,'Master Food List'!O$91,FALSE)))</f>
        <v>28</v>
      </c>
      <c r="G39" s="292">
        <f ca="1">IF(F39="","",(VLOOKUP($D39,master_food_list,'Master Food List'!P$91,FALSE)))</f>
        <v>2</v>
      </c>
      <c r="H39" s="292">
        <f ca="1">IF(G39="","",(VLOOKUP($D39,master_food_list,'Master Food List'!Q$91,FALSE)))</f>
        <v>6</v>
      </c>
      <c r="I39" s="292">
        <f ca="1">IF(H39="","",(VLOOKUP($D39,master_food_list,'Master Food List'!R$91,FALSE)))</f>
        <v>135</v>
      </c>
      <c r="J39" s="292">
        <f ca="1">IF(I39="","",(VLOOKUP($D39,master_food_list,'Master Food List'!S$91,FALSE)))</f>
        <v>0</v>
      </c>
      <c r="K39" s="292">
        <f ca="1">IF(J39="","",(VLOOKUP($D39,master_food_list,'Master Food List'!T$91,FALSE)))</f>
        <v>150.44247787610621</v>
      </c>
      <c r="M39" s="248" t="s">
        <v>487</v>
      </c>
      <c r="N39" s="249">
        <v>2</v>
      </c>
    </row>
    <row r="40" spans="1:14" customFormat="1" ht="17" x14ac:dyDescent="0.2">
      <c r="A40" s="286">
        <v>5</v>
      </c>
      <c r="B40" s="287" t="s">
        <v>463</v>
      </c>
      <c r="C40" s="287" t="s">
        <v>462</v>
      </c>
      <c r="D40" s="288" t="s">
        <v>414</v>
      </c>
      <c r="E40" s="293">
        <f ca="1">IF(D40="","",(VLOOKUP($D40,master_food_list,'Master Food List'!N$91,FALSE)))</f>
        <v>250</v>
      </c>
      <c r="F40" s="293">
        <f ca="1">IF(E40="","",(VLOOKUP($D40,master_food_list,'Master Food List'!O$91,FALSE)))</f>
        <v>33</v>
      </c>
      <c r="G40" s="293">
        <f ca="1">IF(F40="","",(VLOOKUP($D40,master_food_list,'Master Food List'!P$91,FALSE)))</f>
        <v>4</v>
      </c>
      <c r="H40" s="293">
        <f ca="1">IF(G40="","",(VLOOKUP($D40,master_food_list,'Master Food List'!Q$91,FALSE)))</f>
        <v>12</v>
      </c>
      <c r="I40" s="293">
        <f ca="1">IF(H40="","",(VLOOKUP($D40,master_food_list,'Master Food List'!R$91,FALSE)))</f>
        <v>120</v>
      </c>
      <c r="J40" s="293">
        <f ca="1">IF(I40="","",(VLOOKUP($D40,master_food_list,'Master Food List'!S$91,FALSE)))</f>
        <v>0</v>
      </c>
      <c r="K40" s="293">
        <f ca="1">IF(J40="","",(VLOOKUP($D40,master_food_list,'Master Food List'!T$91,FALSE)))</f>
        <v>134.40860215053763</v>
      </c>
      <c r="M40" s="248" t="s">
        <v>490</v>
      </c>
      <c r="N40" s="249">
        <v>1</v>
      </c>
    </row>
    <row r="41" spans="1:14" customFormat="1" ht="34" x14ac:dyDescent="0.2">
      <c r="A41" s="286">
        <v>5</v>
      </c>
      <c r="B41" s="287" t="s">
        <v>463</v>
      </c>
      <c r="C41" s="287" t="s">
        <v>461</v>
      </c>
      <c r="D41" s="288" t="s">
        <v>354</v>
      </c>
      <c r="E41" s="293">
        <f ca="1">IF(D41="","",(VLOOKUP($D41,master_food_list,'Master Food List'!N$91,FALSE)))</f>
        <v>270</v>
      </c>
      <c r="F41" s="293">
        <f ca="1">IF(E41="","",(VLOOKUP($D41,master_food_list,'Master Food List'!O$91,FALSE)))</f>
        <v>72</v>
      </c>
      <c r="G41" s="293">
        <f ca="1">IF(F41="","",(VLOOKUP($D41,master_food_list,'Master Food List'!P$91,FALSE)))</f>
        <v>3</v>
      </c>
      <c r="H41" s="293">
        <f ca="1">IF(G41="","",(VLOOKUP($D41,master_food_list,'Master Food List'!Q$91,FALSE)))</f>
        <v>0</v>
      </c>
      <c r="I41" s="293">
        <f ca="1">IF(H41="","",(VLOOKUP($D41,master_food_list,'Master Food List'!R$91,FALSE)))</f>
        <v>0</v>
      </c>
      <c r="J41" s="293">
        <f ca="1">IF(I41="","",(VLOOKUP($D41,master_food_list,'Master Food List'!S$91,FALSE)))</f>
        <v>0</v>
      </c>
      <c r="K41" s="293">
        <f ca="1">IF(J41="","",(VLOOKUP($D41,master_food_list,'Master Food List'!T$91,FALSE)))</f>
        <v>112.5</v>
      </c>
      <c r="M41" s="248" t="s">
        <v>489</v>
      </c>
      <c r="N41" s="249">
        <v>1</v>
      </c>
    </row>
    <row r="42" spans="1:14" customFormat="1" ht="17" x14ac:dyDescent="0.2">
      <c r="A42" s="286">
        <v>5</v>
      </c>
      <c r="B42" s="287" t="s">
        <v>463</v>
      </c>
      <c r="C42" s="287" t="s">
        <v>460</v>
      </c>
      <c r="D42" s="289"/>
      <c r="E42" s="293" t="str">
        <f>IF(D42="","",(VLOOKUP($D42,master_food_list,'Master Food List'!N$91,FALSE)))</f>
        <v/>
      </c>
      <c r="F42" s="293" t="str">
        <f>IF(E42="","",(VLOOKUP($D42,master_food_list,'Master Food List'!O$91,FALSE)))</f>
        <v/>
      </c>
      <c r="G42" s="293" t="str">
        <f>IF(F42="","",(VLOOKUP($D42,master_food_list,'Master Food List'!P$91,FALSE)))</f>
        <v/>
      </c>
      <c r="H42" s="293" t="str">
        <f>IF(G42="","",(VLOOKUP($D42,master_food_list,'Master Food List'!Q$91,FALSE)))</f>
        <v/>
      </c>
      <c r="I42" s="293" t="str">
        <f>IF(H42="","",(VLOOKUP($D42,master_food_list,'Master Food List'!R$91,FALSE)))</f>
        <v/>
      </c>
      <c r="J42" s="293" t="str">
        <f>IF(I42="","",(VLOOKUP($D42,master_food_list,'Master Food List'!S$91,FALSE)))</f>
        <v/>
      </c>
      <c r="K42" s="293" t="str">
        <f>IF(J42="","",(VLOOKUP($D42,master_food_list,'Master Food List'!T$91,FALSE)))</f>
        <v/>
      </c>
      <c r="M42" s="248" t="s">
        <v>433</v>
      </c>
      <c r="N42" s="249">
        <v>2</v>
      </c>
    </row>
    <row r="43" spans="1:14" customFormat="1" ht="34" x14ac:dyDescent="0.2">
      <c r="A43" s="286">
        <v>5</v>
      </c>
      <c r="B43" s="287" t="s">
        <v>463</v>
      </c>
      <c r="C43" s="287" t="s">
        <v>459</v>
      </c>
      <c r="D43" s="288" t="s">
        <v>487</v>
      </c>
      <c r="E43" s="293">
        <f ca="1">IF(D43="","",(VLOOKUP($D43,master_food_list,'Master Food List'!N$91,FALSE)))</f>
        <v>225</v>
      </c>
      <c r="F43" s="293">
        <f ca="1">IF(E43="","",(VLOOKUP($D43,master_food_list,'Master Food List'!O$91,FALSE)))</f>
        <v>30</v>
      </c>
      <c r="G43" s="293">
        <f ca="1">IF(F43="","",(VLOOKUP($D43,master_food_list,'Master Food List'!P$91,FALSE)))</f>
        <v>20</v>
      </c>
      <c r="H43" s="293">
        <f ca="1">IF(G43="","",(VLOOKUP($D43,master_food_list,'Master Food List'!Q$91,FALSE)))</f>
        <v>3.75</v>
      </c>
      <c r="I43" s="293">
        <f ca="1">IF(H43="","",(VLOOKUP($D43,master_food_list,'Master Food List'!R$91,FALSE)))</f>
        <v>950</v>
      </c>
      <c r="J43" s="293">
        <f ca="1">IF(I43="","",(VLOOKUP($D43,master_food_list,'Master Food List'!S$91,FALSE)))</f>
        <v>0</v>
      </c>
      <c r="K43" s="293">
        <f ca="1">IF(J43="","",(VLOOKUP($D43,master_food_list,'Master Food List'!T$91,FALSE)))</f>
        <v>83.333333333333329</v>
      </c>
      <c r="M43" s="194" t="s">
        <v>458</v>
      </c>
      <c r="N43" s="245"/>
    </row>
    <row r="44" spans="1:14" customFormat="1" ht="17" x14ac:dyDescent="0.2">
      <c r="A44" s="286">
        <v>5</v>
      </c>
      <c r="B44" s="287" t="s">
        <v>463</v>
      </c>
      <c r="C44" s="287" t="s">
        <v>458</v>
      </c>
      <c r="D44" s="289" t="s">
        <v>486</v>
      </c>
      <c r="E44" s="293">
        <f ca="1">IF(D44="","",(VLOOKUP($D44,master_food_list,'Master Food List'!N$91,FALSE)))</f>
        <v>960</v>
      </c>
      <c r="F44" s="293">
        <f ca="1">IF(E44="","",(VLOOKUP($D44,master_food_list,'Master Food List'!O$91,FALSE)))</f>
        <v>178</v>
      </c>
      <c r="G44" s="293">
        <f ca="1">IF(F44="","",(VLOOKUP($D44,master_food_list,'Master Food List'!P$91,FALSE)))</f>
        <v>34</v>
      </c>
      <c r="H44" s="293">
        <f ca="1">IF(G44="","",(VLOOKUP($D44,master_food_list,'Master Food List'!Q$91,FALSE)))</f>
        <v>12</v>
      </c>
      <c r="I44" s="293">
        <f ca="1">IF(H44="","",(VLOOKUP($D44,master_food_list,'Master Food List'!R$91,FALSE)))</f>
        <v>1620</v>
      </c>
      <c r="J44" s="293">
        <f ca="1">IF(I44="","",(VLOOKUP($D44,master_food_list,'Master Food List'!S$91,FALSE)))</f>
        <v>0</v>
      </c>
      <c r="K44" s="293">
        <f ca="1">IF(J44="","",(VLOOKUP($D44,master_food_list,'Master Food List'!T$91,FALSE)))</f>
        <v>109.09090909090908</v>
      </c>
      <c r="M44" s="248" t="s">
        <v>445</v>
      </c>
      <c r="N44" s="249">
        <v>2</v>
      </c>
    </row>
    <row r="45" spans="1:14" customFormat="1" ht="17" x14ac:dyDescent="0.2">
      <c r="A45" s="286">
        <v>5</v>
      </c>
      <c r="B45" s="287" t="s">
        <v>463</v>
      </c>
      <c r="C45" s="287" t="s">
        <v>457</v>
      </c>
      <c r="D45" s="289" t="s">
        <v>479</v>
      </c>
      <c r="E45" s="293">
        <f ca="1">IF(D45="","",(VLOOKUP($D45,master_food_list,'Master Food List'!N$91,FALSE)))</f>
        <v>300</v>
      </c>
      <c r="F45" s="293">
        <f ca="1">IF(E45="","",(VLOOKUP($D45,master_food_list,'Master Food List'!O$91,FALSE)))</f>
        <v>10.5</v>
      </c>
      <c r="G45" s="293">
        <f ca="1">IF(F45="","",(VLOOKUP($D45,master_food_list,'Master Food List'!P$91,FALSE)))</f>
        <v>10.5</v>
      </c>
      <c r="H45" s="293">
        <f ca="1">IF(G45="","",(VLOOKUP($D45,master_food_list,'Master Food List'!Q$91,FALSE)))</f>
        <v>25.5</v>
      </c>
      <c r="I45" s="293">
        <f ca="1">IF(H45="","",(VLOOKUP($D45,master_food_list,'Master Food List'!R$91,FALSE)))</f>
        <v>150</v>
      </c>
      <c r="J45" s="293">
        <f ca="1">IF(I45="","",(VLOOKUP($D45,master_food_list,'Master Food List'!S$91,FALSE)))</f>
        <v>0</v>
      </c>
      <c r="K45" s="293">
        <f ca="1">IF(J45="","",(VLOOKUP($D45,master_food_list,'Master Food List'!T$91,FALSE)))</f>
        <v>177.77777777777777</v>
      </c>
      <c r="M45" s="248" t="s">
        <v>336</v>
      </c>
      <c r="N45" s="249">
        <v>3</v>
      </c>
    </row>
    <row r="46" spans="1:14" customFormat="1" ht="17" x14ac:dyDescent="0.2">
      <c r="A46" s="286">
        <v>5</v>
      </c>
      <c r="B46" s="287" t="s">
        <v>463</v>
      </c>
      <c r="C46" s="287" t="s">
        <v>455</v>
      </c>
      <c r="D46" s="289" t="s">
        <v>482</v>
      </c>
      <c r="E46" s="293">
        <f ca="1">IF(D46="","",(VLOOKUP($D46,master_food_list,'Master Food List'!N$91,FALSE)))</f>
        <v>110</v>
      </c>
      <c r="F46" s="293">
        <f ca="1">IF(E46="","",(VLOOKUP($D46,master_food_list,'Master Food List'!O$91,FALSE)))</f>
        <v>21</v>
      </c>
      <c r="G46" s="293">
        <f ca="1">IF(F46="","",(VLOOKUP($D46,master_food_list,'Master Food List'!P$91,FALSE)))</f>
        <v>1</v>
      </c>
      <c r="H46" s="293">
        <f ca="1">IF(G46="","",(VLOOKUP($D46,master_food_list,'Master Food List'!Q$91,FALSE)))</f>
        <v>2</v>
      </c>
      <c r="I46" s="293">
        <f ca="1">IF(H46="","",(VLOOKUP($D46,master_food_list,'Master Food List'!R$91,FALSE)))</f>
        <v>150</v>
      </c>
      <c r="J46" s="293">
        <f ca="1">IF(I46="","",(VLOOKUP($D46,master_food_list,'Master Food List'!S$91,FALSE)))</f>
        <v>0</v>
      </c>
      <c r="K46" s="293">
        <f ca="1">IF(J46="","",(VLOOKUP($D46,master_food_list,'Master Food List'!T$91,FALSE)))</f>
        <v>118.27956989247312</v>
      </c>
      <c r="M46" s="248" t="s">
        <v>486</v>
      </c>
      <c r="N46" s="249">
        <v>4</v>
      </c>
    </row>
    <row r="47" spans="1:14" customFormat="1" ht="17" x14ac:dyDescent="0.2">
      <c r="A47" s="286">
        <v>6</v>
      </c>
      <c r="B47" s="287" t="s">
        <v>463</v>
      </c>
      <c r="C47" s="287" t="s">
        <v>462</v>
      </c>
      <c r="D47" s="288" t="s">
        <v>481</v>
      </c>
      <c r="E47" s="293">
        <f ca="1">IF(D47="","",(VLOOKUP($D47,master_food_list,'Master Food List'!N$91,FALSE)))</f>
        <v>400</v>
      </c>
      <c r="F47" s="293">
        <f ca="1">IF(E47="","",(VLOOKUP($D47,master_food_list,'Master Food List'!O$91,FALSE)))</f>
        <v>72</v>
      </c>
      <c r="G47" s="293">
        <f ca="1">IF(F47="","",(VLOOKUP($D47,master_food_list,'Master Food List'!P$91,FALSE)))</f>
        <v>6</v>
      </c>
      <c r="H47" s="293">
        <f ca="1">IF(G47="","",(VLOOKUP($D47,master_food_list,'Master Food List'!Q$91,FALSE)))</f>
        <v>10</v>
      </c>
      <c r="I47" s="293">
        <f ca="1">IF(H47="","",(VLOOKUP($D47,master_food_list,'Master Food List'!R$91,FALSE)))</f>
        <v>420</v>
      </c>
      <c r="J47" s="293">
        <f ca="1">IF(I47="","",(VLOOKUP($D47,master_food_list,'Master Food List'!S$91,FALSE)))</f>
        <v>0</v>
      </c>
      <c r="K47" s="293">
        <f ca="1">IF(J47="","",(VLOOKUP($D47,master_food_list,'Master Food List'!T$91,FALSE)))</f>
        <v>109.09090909090909</v>
      </c>
      <c r="M47" s="248" t="s">
        <v>519</v>
      </c>
      <c r="N47" s="249">
        <v>1</v>
      </c>
    </row>
    <row r="48" spans="1:14" customFormat="1" ht="34" x14ac:dyDescent="0.2">
      <c r="A48" s="286">
        <v>6</v>
      </c>
      <c r="B48" s="287" t="s">
        <v>463</v>
      </c>
      <c r="C48" s="287" t="s">
        <v>461</v>
      </c>
      <c r="D48" s="288" t="s">
        <v>333</v>
      </c>
      <c r="E48" s="293">
        <f ca="1">IF(D48="","",(VLOOKUP($D48,master_food_list,'Master Food List'!N$91,FALSE)))</f>
        <v>325</v>
      </c>
      <c r="F48" s="293">
        <f ca="1">IF(E48="","",(VLOOKUP($D48,master_food_list,'Master Food List'!O$91,FALSE)))</f>
        <v>40</v>
      </c>
      <c r="G48" s="293">
        <f ca="1">IF(F48="","",(VLOOKUP($D48,master_food_list,'Master Food List'!P$91,FALSE)))</f>
        <v>2.5</v>
      </c>
      <c r="H48" s="293">
        <f ca="1">IF(G48="","",(VLOOKUP($D48,master_food_list,'Master Food List'!Q$91,FALSE)))</f>
        <v>17.5</v>
      </c>
      <c r="I48" s="293">
        <f ca="1">IF(H48="","",(VLOOKUP($D48,master_food_list,'Master Food List'!R$91,FALSE)))</f>
        <v>25</v>
      </c>
      <c r="J48" s="293">
        <f ca="1">IF(I48="","",(VLOOKUP($D48,master_food_list,'Master Food List'!S$91,FALSE)))</f>
        <v>0</v>
      </c>
      <c r="K48" s="293">
        <f ca="1">IF(J48="","",(VLOOKUP($D48,master_food_list,'Master Food List'!T$91,FALSE)))</f>
        <v>156.25</v>
      </c>
      <c r="M48" s="248" t="s">
        <v>452</v>
      </c>
      <c r="N48" s="249">
        <v>3</v>
      </c>
    </row>
    <row r="49" spans="1:15" customFormat="1" ht="17" x14ac:dyDescent="0.2">
      <c r="A49" s="286">
        <v>6</v>
      </c>
      <c r="B49" s="287" t="s">
        <v>463</v>
      </c>
      <c r="C49" s="287" t="s">
        <v>460</v>
      </c>
      <c r="D49" s="289"/>
      <c r="E49" s="293" t="str">
        <f>IF(D49="","",(VLOOKUP($D49,master_food_list,'Master Food List'!N$91,FALSE)))</f>
        <v/>
      </c>
      <c r="F49" s="293" t="str">
        <f>IF(E49="","",(VLOOKUP($D49,master_food_list,'Master Food List'!O$91,FALSE)))</f>
        <v/>
      </c>
      <c r="G49" s="293" t="str">
        <f>IF(F49="","",(VLOOKUP($D49,master_food_list,'Master Food List'!P$91,FALSE)))</f>
        <v/>
      </c>
      <c r="H49" s="293" t="str">
        <f>IF(G49="","",(VLOOKUP($D49,master_food_list,'Master Food List'!Q$91,FALSE)))</f>
        <v/>
      </c>
      <c r="I49" s="293" t="str">
        <f>IF(H49="","",(VLOOKUP($D49,master_food_list,'Master Food List'!R$91,FALSE)))</f>
        <v/>
      </c>
      <c r="J49" s="293" t="str">
        <f>IF(I49="","",(VLOOKUP($D49,master_food_list,'Master Food List'!S$91,FALSE)))</f>
        <v/>
      </c>
      <c r="K49" s="293" t="str">
        <f>IF(J49="","",(VLOOKUP($D49,master_food_list,'Master Food List'!T$91,FALSE)))</f>
        <v/>
      </c>
      <c r="M49" s="248" t="s">
        <v>294</v>
      </c>
      <c r="N49" s="249">
        <v>3</v>
      </c>
    </row>
    <row r="50" spans="1:15" customFormat="1" ht="34" x14ac:dyDescent="0.2">
      <c r="A50" s="286">
        <v>6</v>
      </c>
      <c r="B50" s="287" t="s">
        <v>463</v>
      </c>
      <c r="C50" s="287" t="s">
        <v>459</v>
      </c>
      <c r="D50" s="288" t="s">
        <v>489</v>
      </c>
      <c r="E50" s="293">
        <f ca="1">IF(D50="","",(VLOOKUP($D50,master_food_list,'Master Food List'!N$91,FALSE)))</f>
        <v>200</v>
      </c>
      <c r="F50" s="293">
        <f ca="1">IF(E50="","",(VLOOKUP($D50,master_food_list,'Master Food List'!O$91,FALSE)))</f>
        <v>25</v>
      </c>
      <c r="G50" s="293">
        <f ca="1">IF(F50="","",(VLOOKUP($D50,master_food_list,'Master Food List'!P$91,FALSE)))</f>
        <v>22.5</v>
      </c>
      <c r="H50" s="293">
        <f ca="1">IF(G50="","",(VLOOKUP($D50,master_food_list,'Master Food List'!Q$91,FALSE)))</f>
        <v>1.25</v>
      </c>
      <c r="I50" s="293">
        <f ca="1">IF(H50="","",(VLOOKUP($D50,master_food_list,'Master Food List'!R$91,FALSE)))</f>
        <v>800</v>
      </c>
      <c r="J50" s="293">
        <f ca="1">IF(I50="","",(VLOOKUP($D50,master_food_list,'Master Food List'!S$91,FALSE)))</f>
        <v>0</v>
      </c>
      <c r="K50" s="293">
        <f ca="1">IF(J50="","",(VLOOKUP($D50,master_food_list,'Master Food List'!T$91,FALSE)))</f>
        <v>74.074074074074076</v>
      </c>
      <c r="M50" s="248" t="s">
        <v>409</v>
      </c>
      <c r="N50" s="249">
        <v>2</v>
      </c>
    </row>
    <row r="51" spans="1:15" customFormat="1" ht="17" x14ac:dyDescent="0.2">
      <c r="A51" s="286">
        <v>6</v>
      </c>
      <c r="B51" s="287" t="s">
        <v>463</v>
      </c>
      <c r="C51" s="287" t="s">
        <v>458</v>
      </c>
      <c r="D51" s="289" t="s">
        <v>409</v>
      </c>
      <c r="E51" s="293">
        <f ca="1">IF(D51="","",(VLOOKUP($D51,master_food_list,'Master Food List'!N$91,FALSE)))</f>
        <v>480</v>
      </c>
      <c r="F51" s="293">
        <f ca="1">IF(E51="","",(VLOOKUP($D51,master_food_list,'Master Food List'!O$91,FALSE)))</f>
        <v>84</v>
      </c>
      <c r="G51" s="293">
        <f ca="1">IF(F51="","",(VLOOKUP($D51,master_food_list,'Master Food List'!P$91,FALSE)))</f>
        <v>30</v>
      </c>
      <c r="H51" s="293">
        <f ca="1">IF(G51="","",(VLOOKUP($D51,master_food_list,'Master Food List'!Q$91,FALSE)))</f>
        <v>3</v>
      </c>
      <c r="I51" s="293">
        <f ca="1">IF(H51="","",(VLOOKUP($D51,master_food_list,'Master Food List'!R$91,FALSE)))</f>
        <v>1530</v>
      </c>
      <c r="J51" s="293">
        <f ca="1">IF(I51="","",(VLOOKUP($D51,master_food_list,'Master Food List'!S$91,FALSE)))</f>
        <v>0</v>
      </c>
      <c r="K51" s="293">
        <f ca="1">IF(J51="","",(VLOOKUP($D51,master_food_list,'Master Food List'!T$91,FALSE)))</f>
        <v>101.93905817174515</v>
      </c>
      <c r="M51" s="248" t="s">
        <v>503</v>
      </c>
      <c r="N51" s="249">
        <v>3</v>
      </c>
    </row>
    <row r="52" spans="1:15" customFormat="1" ht="17" x14ac:dyDescent="0.2">
      <c r="A52" s="286">
        <v>6</v>
      </c>
      <c r="B52" s="287" t="s">
        <v>463</v>
      </c>
      <c r="C52" s="287" t="s">
        <v>457</v>
      </c>
      <c r="D52" s="289" t="s">
        <v>479</v>
      </c>
      <c r="E52" s="293">
        <f ca="1">IF(D52="","",(VLOOKUP($D52,master_food_list,'Master Food List'!N$91,FALSE)))</f>
        <v>300</v>
      </c>
      <c r="F52" s="293">
        <f ca="1">IF(E52="","",(VLOOKUP($D52,master_food_list,'Master Food List'!O$91,FALSE)))</f>
        <v>10.5</v>
      </c>
      <c r="G52" s="293">
        <f ca="1">IF(F52="","",(VLOOKUP($D52,master_food_list,'Master Food List'!P$91,FALSE)))</f>
        <v>10.5</v>
      </c>
      <c r="H52" s="293">
        <f ca="1">IF(G52="","",(VLOOKUP($D52,master_food_list,'Master Food List'!Q$91,FALSE)))</f>
        <v>25.5</v>
      </c>
      <c r="I52" s="293">
        <f ca="1">IF(H52="","",(VLOOKUP($D52,master_food_list,'Master Food List'!R$91,FALSE)))</f>
        <v>150</v>
      </c>
      <c r="J52" s="293">
        <f ca="1">IF(I52="","",(VLOOKUP($D52,master_food_list,'Master Food List'!S$91,FALSE)))</f>
        <v>0</v>
      </c>
      <c r="K52" s="293">
        <f ca="1">IF(J52="","",(VLOOKUP($D52,master_food_list,'Master Food List'!T$91,FALSE)))</f>
        <v>177.77777777777777</v>
      </c>
      <c r="M52" s="248" t="s">
        <v>493</v>
      </c>
      <c r="N52" s="249">
        <v>3</v>
      </c>
    </row>
    <row r="53" spans="1:15" customFormat="1" ht="17" x14ac:dyDescent="0.2">
      <c r="A53" s="304">
        <v>6</v>
      </c>
      <c r="B53" s="305" t="s">
        <v>463</v>
      </c>
      <c r="C53" s="305" t="s">
        <v>455</v>
      </c>
      <c r="D53" s="306" t="s">
        <v>478</v>
      </c>
      <c r="E53" s="307">
        <f ca="1">IF(D53="","",(VLOOKUP($D53,master_food_list,'Master Food List'!N$91,FALSE)))</f>
        <v>540</v>
      </c>
      <c r="F53" s="307">
        <f ca="1">IF(E53="","",(VLOOKUP($D53,master_food_list,'Master Food List'!O$91,FALSE)))</f>
        <v>105</v>
      </c>
      <c r="G53" s="307">
        <f ca="1">IF(F53="","",(VLOOKUP($D53,master_food_list,'Master Food List'!P$91,FALSE)))</f>
        <v>6</v>
      </c>
      <c r="H53" s="307">
        <f ca="1">IF(G53="","",(VLOOKUP($D53,master_food_list,'Master Food List'!Q$91,FALSE)))</f>
        <v>12</v>
      </c>
      <c r="I53" s="307">
        <f ca="1">IF(H53="","",(VLOOKUP($D53,master_food_list,'Master Food List'!R$91,FALSE)))</f>
        <v>240</v>
      </c>
      <c r="J53" s="307">
        <f ca="1">IF(I53="","",(VLOOKUP($D53,master_food_list,'Master Food List'!S$91,FALSE)))</f>
        <v>0</v>
      </c>
      <c r="K53" s="307">
        <f ca="1">IF(J53="","",(VLOOKUP($D53,master_food_list,'Master Food List'!T$91,FALSE)))</f>
        <v>117.64705882352942</v>
      </c>
      <c r="M53" s="248" t="s">
        <v>504</v>
      </c>
      <c r="N53" s="249">
        <v>3</v>
      </c>
    </row>
    <row r="54" spans="1:15" customFormat="1" ht="34" x14ac:dyDescent="0.2">
      <c r="A54" s="286">
        <v>7</v>
      </c>
      <c r="B54" s="287" t="s">
        <v>463</v>
      </c>
      <c r="C54" s="287" t="s">
        <v>462</v>
      </c>
      <c r="D54" s="288" t="s">
        <v>485</v>
      </c>
      <c r="E54" s="293">
        <f ca="1">IF(D54="","",(VLOOKUP($D54,master_food_list,'Master Food List'!N$91,FALSE)))</f>
        <v>500</v>
      </c>
      <c r="F54" s="293">
        <f ca="1">IF(E54="","",(VLOOKUP($D54,master_food_list,'Master Food List'!O$91,FALSE)))</f>
        <v>74</v>
      </c>
      <c r="G54" s="293">
        <f ca="1">IF(F54="","",(VLOOKUP($D54,master_food_list,'Master Food List'!P$91,FALSE)))</f>
        <v>16</v>
      </c>
      <c r="H54" s="293">
        <f ca="1">IF(G54="","",(VLOOKUP($D54,master_food_list,'Master Food List'!Q$91,FALSE)))</f>
        <v>18</v>
      </c>
      <c r="I54" s="293">
        <f ca="1">IF(H54="","",(VLOOKUP($D54,master_food_list,'Master Food List'!R$91,FALSE)))</f>
        <v>130</v>
      </c>
      <c r="J54" s="293">
        <f ca="1">IF(I54="","",(VLOOKUP($D54,master_food_list,'Master Food List'!S$91,FALSE)))</f>
        <v>0</v>
      </c>
      <c r="K54" s="293">
        <f ca="1">IF(J54="","",(VLOOKUP($D54,master_food_list,'Master Food List'!T$91,FALSE)))</f>
        <v>126.55024044545685</v>
      </c>
      <c r="M54" s="248" t="s">
        <v>449</v>
      </c>
      <c r="N54" s="249">
        <v>3</v>
      </c>
    </row>
    <row r="55" spans="1:15" customFormat="1" ht="34" x14ac:dyDescent="0.2">
      <c r="A55" s="286">
        <v>7</v>
      </c>
      <c r="B55" s="287" t="s">
        <v>463</v>
      </c>
      <c r="C55" s="287" t="s">
        <v>461</v>
      </c>
      <c r="D55" s="288" t="s">
        <v>414</v>
      </c>
      <c r="E55" s="293">
        <f ca="1">IF(D55="","",(VLOOKUP($D55,master_food_list,'Master Food List'!N$91,FALSE)))</f>
        <v>250</v>
      </c>
      <c r="F55" s="293">
        <f ca="1">IF(E55="","",(VLOOKUP($D55,master_food_list,'Master Food List'!O$91,FALSE)))</f>
        <v>33</v>
      </c>
      <c r="G55" s="293">
        <f ca="1">IF(F55="","",(VLOOKUP($D55,master_food_list,'Master Food List'!P$91,FALSE)))</f>
        <v>4</v>
      </c>
      <c r="H55" s="293">
        <f ca="1">IF(G55="","",(VLOOKUP($D55,master_food_list,'Master Food List'!Q$91,FALSE)))</f>
        <v>12</v>
      </c>
      <c r="I55" s="293">
        <f ca="1">IF(H55="","",(VLOOKUP($D55,master_food_list,'Master Food List'!R$91,FALSE)))</f>
        <v>120</v>
      </c>
      <c r="J55" s="293">
        <f ca="1">IF(I55="","",(VLOOKUP($D55,master_food_list,'Master Food List'!S$91,FALSE)))</f>
        <v>0</v>
      </c>
      <c r="K55" s="293">
        <f ca="1">IF(J55="","",(VLOOKUP($D55,master_food_list,'Master Food List'!T$91,FALSE)))</f>
        <v>134.40860215053763</v>
      </c>
      <c r="M55" s="194" t="s">
        <v>457</v>
      </c>
      <c r="N55" s="245"/>
    </row>
    <row r="56" spans="1:15" customFormat="1" ht="17" x14ac:dyDescent="0.2">
      <c r="A56" s="286">
        <v>7</v>
      </c>
      <c r="B56" s="287" t="s">
        <v>463</v>
      </c>
      <c r="C56" s="287" t="s">
        <v>460</v>
      </c>
      <c r="D56" s="289"/>
      <c r="E56" s="293" t="str">
        <f>IF(D56="","",(VLOOKUP($D56,master_food_list,'Master Food List'!N$91,FALSE)))</f>
        <v/>
      </c>
      <c r="F56" s="293" t="str">
        <f>IF(E56="","",(VLOOKUP($D56,master_food_list,'Master Food List'!O$91,FALSE)))</f>
        <v/>
      </c>
      <c r="G56" s="293" t="str">
        <f>IF(F56="","",(VLOOKUP($D56,master_food_list,'Master Food List'!P$91,FALSE)))</f>
        <v/>
      </c>
      <c r="H56" s="293" t="str">
        <f>IF(G56="","",(VLOOKUP($D56,master_food_list,'Master Food List'!Q$91,FALSE)))</f>
        <v/>
      </c>
      <c r="I56" s="293" t="str">
        <f>IF(H56="","",(VLOOKUP($D56,master_food_list,'Master Food List'!R$91,FALSE)))</f>
        <v/>
      </c>
      <c r="J56" s="293" t="str">
        <f>IF(I56="","",(VLOOKUP($D56,master_food_list,'Master Food List'!S$91,FALSE)))</f>
        <v/>
      </c>
      <c r="K56" s="293" t="str">
        <f>IF(J56="","",(VLOOKUP($D56,master_food_list,'Master Food List'!T$91,FALSE)))</f>
        <v/>
      </c>
      <c r="M56" s="244" t="s">
        <v>479</v>
      </c>
      <c r="N56" s="245">
        <v>24</v>
      </c>
    </row>
    <row r="57" spans="1:15" customFormat="1" ht="34" x14ac:dyDescent="0.2">
      <c r="A57" s="286">
        <v>7</v>
      </c>
      <c r="B57" s="287" t="s">
        <v>463</v>
      </c>
      <c r="C57" s="287" t="s">
        <v>459</v>
      </c>
      <c r="D57" s="288" t="s">
        <v>325</v>
      </c>
      <c r="E57" s="293">
        <f ca="1">IF(D57="","",(VLOOKUP($D57,master_food_list,'Master Food List'!N$91,FALSE)))</f>
        <v>130</v>
      </c>
      <c r="F57" s="293">
        <f ca="1">IF(E57="","",(VLOOKUP($D57,master_food_list,'Master Food List'!O$91,FALSE)))</f>
        <v>12</v>
      </c>
      <c r="G57" s="293">
        <f ca="1">IF(F57="","",(VLOOKUP($D57,master_food_list,'Master Food List'!P$91,FALSE)))</f>
        <v>8</v>
      </c>
      <c r="H57" s="293">
        <f ca="1">IF(G57="","",(VLOOKUP($D57,master_food_list,'Master Food List'!Q$91,FALSE)))</f>
        <v>6</v>
      </c>
      <c r="I57" s="293">
        <f ca="1">IF(H57="","",(VLOOKUP($D57,master_food_list,'Master Food List'!R$91,FALSE)))</f>
        <v>290</v>
      </c>
      <c r="J57" s="293">
        <f ca="1">IF(I57="","",(VLOOKUP($D57,master_food_list,'Master Food List'!S$91,FALSE)))</f>
        <v>0</v>
      </c>
      <c r="K57" s="293">
        <f ca="1">IF(J57="","",(VLOOKUP($D57,master_food_list,'Master Food List'!T$91,FALSE)))</f>
        <v>99.999999999999986</v>
      </c>
      <c r="M57" s="244" t="s">
        <v>516</v>
      </c>
      <c r="N57" s="245"/>
    </row>
    <row r="58" spans="1:15" customFormat="1" ht="17" x14ac:dyDescent="0.2">
      <c r="A58" s="286">
        <v>7</v>
      </c>
      <c r="B58" s="287" t="s">
        <v>463</v>
      </c>
      <c r="C58" s="287" t="s">
        <v>458</v>
      </c>
      <c r="D58" s="289" t="s">
        <v>504</v>
      </c>
      <c r="E58" s="293">
        <f ca="1">IF(D58="","",(VLOOKUP($D58,master_food_list,'Master Food List'!N$91,FALSE)))</f>
        <v>860</v>
      </c>
      <c r="F58" s="293">
        <f ca="1">IF(E58="","",(VLOOKUP($D58,master_food_list,'Master Food List'!O$91,FALSE)))</f>
        <v>112</v>
      </c>
      <c r="G58" s="293">
        <f ca="1">IF(F58="","",(VLOOKUP($D58,master_food_list,'Master Food List'!P$91,FALSE)))</f>
        <v>38</v>
      </c>
      <c r="H58" s="293">
        <f ca="1">IF(G58="","",(VLOOKUP($D58,master_food_list,'Master Food List'!Q$91,FALSE)))</f>
        <v>28</v>
      </c>
      <c r="I58" s="293">
        <f ca="1">IF(H58="","",(VLOOKUP($D58,master_food_list,'Master Food List'!R$91,FALSE)))</f>
        <v>1220</v>
      </c>
      <c r="J58" s="293">
        <f ca="1">IF(I58="","",(VLOOKUP($D58,master_food_list,'Master Food List'!S$91,FALSE)))</f>
        <v>0</v>
      </c>
      <c r="K58" s="293">
        <f ca="1">IF(J58="","",(VLOOKUP($D58,master_food_list,'Master Food List'!T$91,FALSE)))</f>
        <v>121.12676056338029</v>
      </c>
      <c r="M58" s="194" t="s">
        <v>455</v>
      </c>
      <c r="N58" s="245"/>
    </row>
    <row r="59" spans="1:15" customFormat="1" ht="17" x14ac:dyDescent="0.2">
      <c r="A59" s="286">
        <v>7</v>
      </c>
      <c r="B59" s="287" t="s">
        <v>463</v>
      </c>
      <c r="C59" s="287" t="s">
        <v>457</v>
      </c>
      <c r="D59" s="289" t="s">
        <v>479</v>
      </c>
      <c r="E59" s="293">
        <f ca="1">IF(D59="","",(VLOOKUP($D59,master_food_list,'Master Food List'!N$91,FALSE)))</f>
        <v>300</v>
      </c>
      <c r="F59" s="293">
        <f ca="1">IF(E59="","",(VLOOKUP($D59,master_food_list,'Master Food List'!O$91,FALSE)))</f>
        <v>10.5</v>
      </c>
      <c r="G59" s="293">
        <f ca="1">IF(F59="","",(VLOOKUP($D59,master_food_list,'Master Food List'!P$91,FALSE)))</f>
        <v>10.5</v>
      </c>
      <c r="H59" s="293">
        <f ca="1">IF(G59="","",(VLOOKUP($D59,master_food_list,'Master Food List'!Q$91,FALSE)))</f>
        <v>25.5</v>
      </c>
      <c r="I59" s="293">
        <f ca="1">IF(H59="","",(VLOOKUP($D59,master_food_list,'Master Food List'!R$91,FALSE)))</f>
        <v>150</v>
      </c>
      <c r="J59" s="293">
        <f ca="1">IF(I59="","",(VLOOKUP($D59,master_food_list,'Master Food List'!S$91,FALSE)))</f>
        <v>0</v>
      </c>
      <c r="K59" s="293">
        <f ca="1">IF(J59="","",(VLOOKUP($D59,master_food_list,'Master Food List'!T$91,FALSE)))</f>
        <v>177.77777777777777</v>
      </c>
      <c r="M59" s="248" t="s">
        <v>478</v>
      </c>
      <c r="N59" s="249">
        <v>6</v>
      </c>
      <c r="O59">
        <f>6*5</f>
        <v>30</v>
      </c>
    </row>
    <row r="60" spans="1:15" customFormat="1" ht="17" x14ac:dyDescent="0.2">
      <c r="A60" s="304">
        <v>7</v>
      </c>
      <c r="B60" s="305" t="s">
        <v>463</v>
      </c>
      <c r="C60" s="305" t="s">
        <v>455</v>
      </c>
      <c r="D60" s="306" t="s">
        <v>505</v>
      </c>
      <c r="E60" s="307">
        <f ca="1">IF(D60="","",(VLOOKUP($D60,master_food_list,'Master Food List'!N$91,FALSE)))</f>
        <v>500</v>
      </c>
      <c r="F60" s="307">
        <f ca="1">IF(E60="","",(VLOOKUP($D60,master_food_list,'Master Food List'!O$91,FALSE)))</f>
        <v>108</v>
      </c>
      <c r="G60" s="307">
        <f ca="1">IF(F60="","",(VLOOKUP($D60,master_food_list,'Master Food List'!P$91,FALSE)))</f>
        <v>10</v>
      </c>
      <c r="H60" s="307">
        <f ca="1">IF(G60="","",(VLOOKUP($D60,master_food_list,'Master Food List'!Q$91,FALSE)))</f>
        <v>5</v>
      </c>
      <c r="I60" s="307">
        <f ca="1">IF(H60="","",(VLOOKUP($D60,master_food_list,'Master Food List'!R$91,FALSE)))</f>
        <v>680</v>
      </c>
      <c r="J60" s="307">
        <f ca="1">IF(I60="","",(VLOOKUP($D60,master_food_list,'Master Food List'!S$91,FALSE)))</f>
        <v>0</v>
      </c>
      <c r="K60" s="307">
        <f ca="1">IF(J60="","",(VLOOKUP($D60,master_food_list,'Master Food List'!T$91,FALSE)))</f>
        <v>111.11111111111111</v>
      </c>
      <c r="M60" s="248" t="s">
        <v>505</v>
      </c>
      <c r="N60" s="249">
        <v>4</v>
      </c>
      <c r="O60">
        <f>4*5</f>
        <v>20</v>
      </c>
    </row>
    <row r="61" spans="1:15" s="189" customFormat="1" ht="34" x14ac:dyDescent="0.2">
      <c r="A61" s="282">
        <v>8</v>
      </c>
      <c r="B61" s="283" t="s">
        <v>463</v>
      </c>
      <c r="C61" s="283" t="s">
        <v>462</v>
      </c>
      <c r="D61" s="284" t="s">
        <v>480</v>
      </c>
      <c r="E61" s="292">
        <f ca="1">IF(D61="","",(VLOOKUP($D61,master_food_list,'Master Food List'!N$91,FALSE)))</f>
        <v>620</v>
      </c>
      <c r="F61" s="292">
        <f ca="1">IF(E61="","",(VLOOKUP($D61,master_food_list,'Master Food List'!O$91,FALSE)))</f>
        <v>74</v>
      </c>
      <c r="G61" s="292">
        <f ca="1">IF(F61="","",(VLOOKUP($D61,master_food_list,'Master Food List'!P$91,FALSE)))</f>
        <v>16</v>
      </c>
      <c r="H61" s="292">
        <f ca="1">IF(G61="","",(VLOOKUP($D61,master_food_list,'Master Food List'!Q$91,FALSE)))</f>
        <v>31</v>
      </c>
      <c r="I61" s="292">
        <f ca="1">IF(H61="","",(VLOOKUP($D61,master_food_list,'Master Food List'!R$91,FALSE)))</f>
        <v>280</v>
      </c>
      <c r="J61" s="292">
        <f ca="1">IF(I61="","",(VLOOKUP($D61,master_food_list,'Master Food List'!S$91,FALSE)))</f>
        <v>0</v>
      </c>
      <c r="K61" s="292">
        <f ca="1">IF(J61="","",(VLOOKUP($D61,master_food_list,'Master Food List'!T$91,FALSE)))</f>
        <v>130.52631578947367</v>
      </c>
      <c r="M61" s="248" t="s">
        <v>484</v>
      </c>
      <c r="N61" s="249">
        <v>5</v>
      </c>
      <c r="O61" s="189">
        <f>5*4</f>
        <v>20</v>
      </c>
    </row>
    <row r="62" spans="1:15" s="189" customFormat="1" ht="51" x14ac:dyDescent="0.2">
      <c r="A62" s="282">
        <v>8</v>
      </c>
      <c r="B62" s="283" t="s">
        <v>463</v>
      </c>
      <c r="C62" s="283" t="s">
        <v>461</v>
      </c>
      <c r="D62" s="284" t="s">
        <v>430</v>
      </c>
      <c r="E62" s="292">
        <f ca="1">IF(D62="","",(VLOOKUP($D62,master_food_list,'Master Food List'!N$91,FALSE)))</f>
        <v>510</v>
      </c>
      <c r="F62" s="292">
        <f ca="1">IF(E62="","",(VLOOKUP($D62,master_food_list,'Master Food List'!O$91,FALSE)))</f>
        <v>42</v>
      </c>
      <c r="G62" s="292">
        <f ca="1">IF(F62="","",(VLOOKUP($D62,master_food_list,'Master Food List'!P$91,FALSE)))</f>
        <v>10.5</v>
      </c>
      <c r="H62" s="292">
        <f ca="1">IF(G62="","",(VLOOKUP($D62,master_food_list,'Master Food List'!Q$91,FALSE)))</f>
        <v>33</v>
      </c>
      <c r="I62" s="292">
        <f ca="1">IF(H62="","",(VLOOKUP($D62,master_food_list,'Master Food List'!R$91,FALSE)))</f>
        <v>75</v>
      </c>
      <c r="J62" s="292">
        <f ca="1">IF(I62="","",(VLOOKUP($D62,master_food_list,'Master Food List'!S$91,FALSE)))</f>
        <v>0</v>
      </c>
      <c r="K62" s="292">
        <f ca="1">IF(J62="","",(VLOOKUP($D62,master_food_list,'Master Food List'!T$91,FALSE)))</f>
        <v>170</v>
      </c>
      <c r="M62" s="248" t="s">
        <v>482</v>
      </c>
      <c r="N62" s="249">
        <v>5</v>
      </c>
    </row>
    <row r="63" spans="1:15" s="189" customFormat="1" ht="17" x14ac:dyDescent="0.2">
      <c r="A63" s="282">
        <v>8</v>
      </c>
      <c r="B63" s="283" t="s">
        <v>463</v>
      </c>
      <c r="C63" s="283" t="s">
        <v>460</v>
      </c>
      <c r="D63" s="285"/>
      <c r="E63" s="292" t="str">
        <f>IF(D63="","",(VLOOKUP($D63,master_food_list,'Master Food List'!N$91,FALSE)))</f>
        <v/>
      </c>
      <c r="F63" s="292" t="str">
        <f>IF(E63="","",(VLOOKUP($D63,master_food_list,'Master Food List'!O$91,FALSE)))</f>
        <v/>
      </c>
      <c r="G63" s="292" t="str">
        <f>IF(F63="","",(VLOOKUP($D63,master_food_list,'Master Food List'!P$91,FALSE)))</f>
        <v/>
      </c>
      <c r="H63" s="292" t="str">
        <f>IF(G63="","",(VLOOKUP($D63,master_food_list,'Master Food List'!Q$91,FALSE)))</f>
        <v/>
      </c>
      <c r="I63" s="292" t="str">
        <f>IF(H63="","",(VLOOKUP($D63,master_food_list,'Master Food List'!R$91,FALSE)))</f>
        <v/>
      </c>
      <c r="J63" s="292" t="str">
        <f>IF(I63="","",(VLOOKUP($D63,master_food_list,'Master Food List'!S$91,FALSE)))</f>
        <v/>
      </c>
      <c r="K63" s="292" t="str">
        <f>IF(J63="","",(VLOOKUP($D63,master_food_list,'Master Food List'!T$91,FALSE)))</f>
        <v/>
      </c>
      <c r="M63" s="248" t="s">
        <v>313</v>
      </c>
      <c r="N63" s="249">
        <v>5</v>
      </c>
    </row>
    <row r="64" spans="1:15" s="189" customFormat="1" ht="51" x14ac:dyDescent="0.2">
      <c r="A64" s="282">
        <v>8</v>
      </c>
      <c r="B64" s="283" t="s">
        <v>463</v>
      </c>
      <c r="C64" s="283" t="s">
        <v>459</v>
      </c>
      <c r="D64" s="284" t="s">
        <v>433</v>
      </c>
      <c r="E64" s="292">
        <f ca="1">IF(D64="","",(VLOOKUP($D64,master_food_list,'Master Food List'!N$91,FALSE)))</f>
        <v>280</v>
      </c>
      <c r="F64" s="292">
        <f ca="1">IF(E64="","",(VLOOKUP($D64,master_food_list,'Master Food List'!O$91,FALSE)))</f>
        <v>34</v>
      </c>
      <c r="G64" s="292">
        <f ca="1">IF(F64="","",(VLOOKUP($D64,master_food_list,'Master Food List'!P$91,FALSE)))</f>
        <v>2</v>
      </c>
      <c r="H64" s="292">
        <f ca="1">IF(G64="","",(VLOOKUP($D64,master_food_list,'Master Food List'!Q$91,FALSE)))</f>
        <v>17</v>
      </c>
      <c r="I64" s="292">
        <f ca="1">IF(H64="","",(VLOOKUP($D64,master_food_list,'Master Food List'!R$91,FALSE)))</f>
        <v>0</v>
      </c>
      <c r="J64" s="292">
        <f ca="1">IF(I64="","",(VLOOKUP($D64,master_food_list,'Master Food List'!S$91,FALSE)))</f>
        <v>0</v>
      </c>
      <c r="K64" s="292">
        <f ca="1">IF(J64="","",(VLOOKUP($D64,master_food_list,'Master Food List'!T$91,FALSE)))</f>
        <v>140</v>
      </c>
      <c r="M64" s="248" t="s">
        <v>483</v>
      </c>
      <c r="N64" s="249">
        <v>4</v>
      </c>
    </row>
    <row r="65" spans="1:16" s="189" customFormat="1" ht="17" x14ac:dyDescent="0.2">
      <c r="A65" s="282">
        <v>8</v>
      </c>
      <c r="B65" s="283" t="s">
        <v>463</v>
      </c>
      <c r="C65" s="283" t="s">
        <v>458</v>
      </c>
      <c r="D65" s="285" t="s">
        <v>503</v>
      </c>
      <c r="E65" s="292">
        <f ca="1">IF(D65="","",(VLOOKUP($D65,master_food_list,'Master Food List'!N$91,FALSE)))</f>
        <v>880</v>
      </c>
      <c r="F65" s="292">
        <f ca="1">IF(E65="","",(VLOOKUP($D65,master_food_list,'Master Food List'!O$91,FALSE)))</f>
        <v>122</v>
      </c>
      <c r="G65" s="292">
        <f ca="1">IF(F65="","",(VLOOKUP($D65,master_food_list,'Master Food List'!P$91,FALSE)))</f>
        <v>36</v>
      </c>
      <c r="H65" s="292">
        <f ca="1">IF(G65="","",(VLOOKUP($D65,master_food_list,'Master Food List'!Q$91,FALSE)))</f>
        <v>36</v>
      </c>
      <c r="I65" s="292">
        <f ca="1">IF(H65="","",(VLOOKUP($D65,master_food_list,'Master Food List'!R$91,FALSE)))</f>
        <v>920</v>
      </c>
      <c r="J65" s="292">
        <f ca="1">IF(I65="","",(VLOOKUP($D65,master_food_list,'Master Food List'!S$91,FALSE)))</f>
        <v>0</v>
      </c>
      <c r="K65" s="292">
        <f ca="1">IF(J65="","",(VLOOKUP($D65,master_food_list,'Master Food List'!T$91,FALSE)))</f>
        <v>110</v>
      </c>
      <c r="M65" s="194" t="s">
        <v>532</v>
      </c>
      <c r="N65" s="245">
        <v>179</v>
      </c>
      <c r="O65" s="189">
        <f>SUM(O59:O64)</f>
        <v>70</v>
      </c>
      <c r="P65" s="303">
        <f>O65/16</f>
        <v>4.375</v>
      </c>
    </row>
    <row r="66" spans="1:16" s="189" customFormat="1" ht="17" x14ac:dyDescent="0.2">
      <c r="A66" s="282">
        <v>8</v>
      </c>
      <c r="B66" s="283" t="s">
        <v>463</v>
      </c>
      <c r="C66" s="283" t="s">
        <v>457</v>
      </c>
      <c r="D66" s="285" t="s">
        <v>479</v>
      </c>
      <c r="E66" s="292">
        <f ca="1">IF(D66="","",(VLOOKUP($D66,master_food_list,'Master Food List'!N$91,FALSE)))</f>
        <v>300</v>
      </c>
      <c r="F66" s="292">
        <f ca="1">IF(E66="","",(VLOOKUP($D66,master_food_list,'Master Food List'!O$91,FALSE)))</f>
        <v>10.5</v>
      </c>
      <c r="G66" s="292">
        <f ca="1">IF(F66="","",(VLOOKUP($D66,master_food_list,'Master Food List'!P$91,FALSE)))</f>
        <v>10.5</v>
      </c>
      <c r="H66" s="292">
        <f ca="1">IF(G66="","",(VLOOKUP($D66,master_food_list,'Master Food List'!Q$91,FALSE)))</f>
        <v>25.5</v>
      </c>
      <c r="I66" s="292">
        <f ca="1">IF(H66="","",(VLOOKUP($D66,master_food_list,'Master Food List'!R$91,FALSE)))</f>
        <v>150</v>
      </c>
      <c r="J66" s="292">
        <f ca="1">IF(I66="","",(VLOOKUP($D66,master_food_list,'Master Food List'!S$91,FALSE)))</f>
        <v>0</v>
      </c>
      <c r="K66" s="292">
        <f ca="1">IF(J66="","",(VLOOKUP($D66,master_food_list,'Master Food List'!T$91,FALSE)))</f>
        <v>177.77777777777777</v>
      </c>
      <c r="M66"/>
      <c r="N66"/>
      <c r="P66" s="189" t="s">
        <v>728</v>
      </c>
    </row>
    <row r="67" spans="1:16" s="189" customFormat="1" ht="17" x14ac:dyDescent="0.2">
      <c r="A67" s="282">
        <v>8</v>
      </c>
      <c r="B67" s="283" t="s">
        <v>463</v>
      </c>
      <c r="C67" s="283" t="s">
        <v>455</v>
      </c>
      <c r="D67" s="285" t="s">
        <v>484</v>
      </c>
      <c r="E67" s="292">
        <f ca="1">IF(D67="","",(VLOOKUP($D67,master_food_list,'Master Food List'!N$91,FALSE)))</f>
        <v>540</v>
      </c>
      <c r="F67" s="292">
        <f ca="1">IF(E67="","",(VLOOKUP($D67,master_food_list,'Master Food List'!O$91,FALSE)))</f>
        <v>72</v>
      </c>
      <c r="G67" s="292">
        <f ca="1">IF(F67="","",(VLOOKUP($D67,master_food_list,'Master Food List'!P$91,FALSE)))</f>
        <v>14</v>
      </c>
      <c r="H67" s="292">
        <f ca="1">IF(G67="","",(VLOOKUP($D67,master_food_list,'Master Food List'!Q$91,FALSE)))</f>
        <v>22</v>
      </c>
      <c r="I67" s="292">
        <f ca="1">IF(H67="","",(VLOOKUP($D67,master_food_list,'Master Food List'!R$91,FALSE)))</f>
        <v>780</v>
      </c>
      <c r="J67" s="292">
        <f ca="1">IF(I67="","",(VLOOKUP($D67,master_food_list,'Master Food List'!S$91,FALSE)))</f>
        <v>0</v>
      </c>
      <c r="K67" s="292">
        <f ca="1">IF(J67="","",(VLOOKUP($D67,master_food_list,'Master Food List'!T$91,FALSE)))</f>
        <v>117.39130434782609</v>
      </c>
      <c r="M67"/>
      <c r="N67"/>
    </row>
    <row r="68" spans="1:16" customFormat="1" ht="17" x14ac:dyDescent="0.2">
      <c r="A68" s="286">
        <v>9</v>
      </c>
      <c r="B68" s="287" t="s">
        <v>463</v>
      </c>
      <c r="C68" s="287" t="s">
        <v>462</v>
      </c>
      <c r="D68" s="288" t="s">
        <v>414</v>
      </c>
      <c r="E68" s="293">
        <f ca="1">IF(D68="","",(VLOOKUP($D68,master_food_list,'Master Food List'!N$91,FALSE)))</f>
        <v>250</v>
      </c>
      <c r="F68" s="293">
        <f ca="1">IF(E68="","",(VLOOKUP($D68,master_food_list,'Master Food List'!O$91,FALSE)))</f>
        <v>33</v>
      </c>
      <c r="G68" s="293">
        <f ca="1">IF(F68="","",(VLOOKUP($D68,master_food_list,'Master Food List'!P$91,FALSE)))</f>
        <v>4</v>
      </c>
      <c r="H68" s="293">
        <f ca="1">IF(G68="","",(VLOOKUP($D68,master_food_list,'Master Food List'!Q$91,FALSE)))</f>
        <v>12</v>
      </c>
      <c r="I68" s="293">
        <f ca="1">IF(H68="","",(VLOOKUP($D68,master_food_list,'Master Food List'!R$91,FALSE)))</f>
        <v>120</v>
      </c>
      <c r="J68" s="293">
        <f ca="1">IF(I68="","",(VLOOKUP($D68,master_food_list,'Master Food List'!S$91,FALSE)))</f>
        <v>0</v>
      </c>
      <c r="K68" s="293">
        <f ca="1">IF(J68="","",(VLOOKUP($D68,master_food_list,'Master Food List'!T$91,FALSE)))</f>
        <v>134.40860215053763</v>
      </c>
    </row>
    <row r="69" spans="1:16" customFormat="1" ht="34" x14ac:dyDescent="0.2">
      <c r="A69" s="286">
        <v>9</v>
      </c>
      <c r="B69" s="287" t="s">
        <v>463</v>
      </c>
      <c r="C69" s="287" t="s">
        <v>461</v>
      </c>
      <c r="D69" s="288" t="s">
        <v>396</v>
      </c>
      <c r="E69" s="293">
        <f ca="1">IF(D69="","",(VLOOKUP($D69,master_food_list,'Master Food List'!N$91,FALSE)))</f>
        <v>270</v>
      </c>
      <c r="F69" s="293">
        <f ca="1">IF(E69="","",(VLOOKUP($D69,master_food_list,'Master Food List'!O$91,FALSE)))</f>
        <v>30</v>
      </c>
      <c r="G69" s="293">
        <f ca="1">IF(F69="","",(VLOOKUP($D69,master_food_list,'Master Food List'!P$91,FALSE)))</f>
        <v>20</v>
      </c>
      <c r="H69" s="293">
        <f ca="1">IF(G69="","",(VLOOKUP($D69,master_food_list,'Master Food List'!Q$91,FALSE)))</f>
        <v>9</v>
      </c>
      <c r="I69" s="293">
        <f ca="1">IF(H69="","",(VLOOKUP($D69,master_food_list,'Master Food List'!R$91,FALSE)))</f>
        <v>200</v>
      </c>
      <c r="J69" s="293">
        <f ca="1">IF(I69="","",(VLOOKUP($D69,master_food_list,'Master Food List'!S$91,FALSE)))</f>
        <v>0</v>
      </c>
      <c r="K69" s="293">
        <f ca="1">IF(J69="","",(VLOOKUP($D69,master_food_list,'Master Food List'!T$91,FALSE)))</f>
        <v>112.5</v>
      </c>
    </row>
    <row r="70" spans="1:16" customFormat="1" ht="17" x14ac:dyDescent="0.2">
      <c r="A70" s="286">
        <v>9</v>
      </c>
      <c r="B70" s="287" t="s">
        <v>463</v>
      </c>
      <c r="C70" s="287" t="s">
        <v>460</v>
      </c>
      <c r="D70" s="289"/>
      <c r="E70" s="293" t="str">
        <f>IF(D70="","",(VLOOKUP($D70,master_food_list,'Master Food List'!N$91,FALSE)))</f>
        <v/>
      </c>
      <c r="F70" s="293" t="str">
        <f>IF(E70="","",(VLOOKUP($D70,master_food_list,'Master Food List'!O$91,FALSE)))</f>
        <v/>
      </c>
      <c r="G70" s="293" t="str">
        <f>IF(F70="","",(VLOOKUP($D70,master_food_list,'Master Food List'!P$91,FALSE)))</f>
        <v/>
      </c>
      <c r="H70" s="293" t="str">
        <f>IF(G70="","",(VLOOKUP($D70,master_food_list,'Master Food List'!Q$91,FALSE)))</f>
        <v/>
      </c>
      <c r="I70" s="293" t="str">
        <f>IF(H70="","",(VLOOKUP($D70,master_food_list,'Master Food List'!R$91,FALSE)))</f>
        <v/>
      </c>
      <c r="J70" s="293" t="str">
        <f>IF(I70="","",(VLOOKUP($D70,master_food_list,'Master Food List'!S$91,FALSE)))</f>
        <v/>
      </c>
      <c r="K70" s="293" t="str">
        <f>IF(J70="","",(VLOOKUP($D70,master_food_list,'Master Food List'!T$91,FALSE)))</f>
        <v/>
      </c>
    </row>
    <row r="71" spans="1:16" customFormat="1" ht="34" x14ac:dyDescent="0.2">
      <c r="A71" s="286">
        <v>9</v>
      </c>
      <c r="B71" s="287" t="s">
        <v>463</v>
      </c>
      <c r="C71" s="287" t="s">
        <v>459</v>
      </c>
      <c r="D71" s="288" t="s">
        <v>522</v>
      </c>
      <c r="E71" s="293">
        <f ca="1">IF(D71="","",(VLOOKUP($D71,master_food_list,'Master Food List'!N$91,FALSE)))</f>
        <v>300</v>
      </c>
      <c r="F71" s="293">
        <f ca="1">IF(E71="","",(VLOOKUP($D71,master_food_list,'Master Food List'!O$91,FALSE)))</f>
        <v>26</v>
      </c>
      <c r="G71" s="293">
        <f ca="1">IF(F71="","",(VLOOKUP($D71,master_food_list,'Master Food List'!P$91,FALSE)))</f>
        <v>4</v>
      </c>
      <c r="H71" s="293">
        <f ca="1">IF(G71="","",(VLOOKUP($D71,master_food_list,'Master Food List'!Q$91,FALSE)))</f>
        <v>20</v>
      </c>
      <c r="I71" s="293">
        <f ca="1">IF(H71="","",(VLOOKUP($D71,master_food_list,'Master Food List'!R$91,FALSE)))</f>
        <v>500</v>
      </c>
      <c r="J71" s="293">
        <f ca="1">IF(I71="","",(VLOOKUP($D71,master_food_list,'Master Food List'!S$91,FALSE)))</f>
        <v>0</v>
      </c>
      <c r="K71" s="293">
        <f ca="1">IF(J71="","",(VLOOKUP($D71,master_food_list,'Master Food List'!T$91,FALSE)))</f>
        <v>154.28571428571428</v>
      </c>
    </row>
    <row r="72" spans="1:16" customFormat="1" ht="17" x14ac:dyDescent="0.2">
      <c r="A72" s="286">
        <v>9</v>
      </c>
      <c r="B72" s="287" t="s">
        <v>463</v>
      </c>
      <c r="C72" s="287" t="s">
        <v>458</v>
      </c>
      <c r="D72" s="289" t="s">
        <v>493</v>
      </c>
      <c r="E72" s="293">
        <f ca="1">IF(D72="","",(VLOOKUP($D72,master_food_list,'Master Food List'!N$91,FALSE)))</f>
        <v>1000</v>
      </c>
      <c r="F72" s="293">
        <f ca="1">IF(E72="","",(VLOOKUP($D72,master_food_list,'Master Food List'!O$91,FALSE)))</f>
        <v>112</v>
      </c>
      <c r="G72" s="293">
        <f ca="1">IF(F72="","",(VLOOKUP($D72,master_food_list,'Master Food List'!P$91,FALSE)))</f>
        <v>40</v>
      </c>
      <c r="H72" s="293">
        <f ca="1">IF(G72="","",(VLOOKUP($D72,master_food_list,'Master Food List'!Q$91,FALSE)))</f>
        <v>52</v>
      </c>
      <c r="I72" s="293">
        <f ca="1">IF(H72="","",(VLOOKUP($D72,master_food_list,'Master Food List'!R$91,FALSE)))</f>
        <v>460</v>
      </c>
      <c r="J72" s="293">
        <f ca="1">IF(I72="","",(VLOOKUP($D72,master_food_list,'Master Food List'!S$91,FALSE)))</f>
        <v>0</v>
      </c>
      <c r="K72" s="293">
        <f ca="1">IF(J72="","",(VLOOKUP($D72,master_food_list,'Master Food List'!T$91,FALSE)))</f>
        <v>123.4567901234568</v>
      </c>
    </row>
    <row r="73" spans="1:16" customFormat="1" ht="17" x14ac:dyDescent="0.2">
      <c r="A73" s="286">
        <v>9</v>
      </c>
      <c r="B73" s="287" t="s">
        <v>463</v>
      </c>
      <c r="C73" s="287" t="s">
        <v>457</v>
      </c>
      <c r="D73" s="289" t="s">
        <v>479</v>
      </c>
      <c r="E73" s="293">
        <f ca="1">IF(D73="","",(VLOOKUP($D73,master_food_list,'Master Food List'!N$91,FALSE)))</f>
        <v>300</v>
      </c>
      <c r="F73" s="293">
        <f ca="1">IF(E73="","",(VLOOKUP($D73,master_food_list,'Master Food List'!O$91,FALSE)))</f>
        <v>10.5</v>
      </c>
      <c r="G73" s="293">
        <f ca="1">IF(F73="","",(VLOOKUP($D73,master_food_list,'Master Food List'!P$91,FALSE)))</f>
        <v>10.5</v>
      </c>
      <c r="H73" s="293">
        <f ca="1">IF(G73="","",(VLOOKUP($D73,master_food_list,'Master Food List'!Q$91,FALSE)))</f>
        <v>25.5</v>
      </c>
      <c r="I73" s="293">
        <f ca="1">IF(H73="","",(VLOOKUP($D73,master_food_list,'Master Food List'!R$91,FALSE)))</f>
        <v>150</v>
      </c>
      <c r="J73" s="293">
        <f ca="1">IF(I73="","",(VLOOKUP($D73,master_food_list,'Master Food List'!S$91,FALSE)))</f>
        <v>0</v>
      </c>
      <c r="K73" s="293">
        <f ca="1">IF(J73="","",(VLOOKUP($D73,master_food_list,'Master Food List'!T$91,FALSE)))</f>
        <v>177.77777777777777</v>
      </c>
    </row>
    <row r="74" spans="1:16" customFormat="1" ht="17" x14ac:dyDescent="0.2">
      <c r="A74" s="286">
        <v>9</v>
      </c>
      <c r="B74" s="287" t="s">
        <v>463</v>
      </c>
      <c r="C74" s="287" t="s">
        <v>455</v>
      </c>
      <c r="D74" s="289" t="s">
        <v>313</v>
      </c>
      <c r="E74" s="293">
        <f ca="1">IF(D74="","",(VLOOKUP($D74,master_food_list,'Master Food List'!N$91,FALSE)))</f>
        <v>170</v>
      </c>
      <c r="F74" s="293">
        <f ca="1">IF(E74="","",(VLOOKUP($D74,master_food_list,'Master Food List'!O$91,FALSE)))</f>
        <v>28</v>
      </c>
      <c r="G74" s="293">
        <f ca="1">IF(F74="","",(VLOOKUP($D74,master_food_list,'Master Food List'!P$91,FALSE)))</f>
        <v>2</v>
      </c>
      <c r="H74" s="293">
        <f ca="1">IF(G74="","",(VLOOKUP($D74,master_food_list,'Master Food List'!Q$91,FALSE)))</f>
        <v>6</v>
      </c>
      <c r="I74" s="293">
        <f ca="1">IF(H74="","",(VLOOKUP($D74,master_food_list,'Master Food List'!R$91,FALSE)))</f>
        <v>135</v>
      </c>
      <c r="J74" s="293">
        <f ca="1">IF(I74="","",(VLOOKUP($D74,master_food_list,'Master Food List'!S$91,FALSE)))</f>
        <v>0</v>
      </c>
      <c r="K74" s="293">
        <f ca="1">IF(J74="","",(VLOOKUP($D74,master_food_list,'Master Food List'!T$91,FALSE)))</f>
        <v>150.44247787610621</v>
      </c>
    </row>
    <row r="75" spans="1:16" customFormat="1" ht="34" x14ac:dyDescent="0.2">
      <c r="A75" s="286">
        <v>10</v>
      </c>
      <c r="B75" s="287" t="s">
        <v>463</v>
      </c>
      <c r="C75" s="287" t="s">
        <v>462</v>
      </c>
      <c r="D75" s="288" t="s">
        <v>485</v>
      </c>
      <c r="E75" s="293">
        <f ca="1">IF(D75="","",(VLOOKUP($D75,master_food_list,'Master Food List'!N$91,FALSE)))</f>
        <v>500</v>
      </c>
      <c r="F75" s="293">
        <f ca="1">IF(E75="","",(VLOOKUP($D75,master_food_list,'Master Food List'!O$91,FALSE)))</f>
        <v>74</v>
      </c>
      <c r="G75" s="293">
        <f ca="1">IF(F75="","",(VLOOKUP($D75,master_food_list,'Master Food List'!P$91,FALSE)))</f>
        <v>16</v>
      </c>
      <c r="H75" s="293">
        <f ca="1">IF(G75="","",(VLOOKUP($D75,master_food_list,'Master Food List'!Q$91,FALSE)))</f>
        <v>18</v>
      </c>
      <c r="I75" s="293">
        <f ca="1">IF(H75="","",(VLOOKUP($D75,master_food_list,'Master Food List'!R$91,FALSE)))</f>
        <v>130</v>
      </c>
      <c r="J75" s="293">
        <f ca="1">IF(I75="","",(VLOOKUP($D75,master_food_list,'Master Food List'!S$91,FALSE)))</f>
        <v>0</v>
      </c>
      <c r="K75" s="293">
        <f ca="1">IF(J75="","",(VLOOKUP($D75,master_food_list,'Master Food List'!T$91,FALSE)))</f>
        <v>126.55024044545685</v>
      </c>
    </row>
    <row r="76" spans="1:16" customFormat="1" ht="51" x14ac:dyDescent="0.2">
      <c r="A76" s="286">
        <v>10</v>
      </c>
      <c r="B76" s="287" t="s">
        <v>463</v>
      </c>
      <c r="C76" s="287" t="s">
        <v>461</v>
      </c>
      <c r="D76" s="288" t="s">
        <v>433</v>
      </c>
      <c r="E76" s="293">
        <f ca="1">IF(D76="","",(VLOOKUP($D76,master_food_list,'Master Food List'!N$91,FALSE)))</f>
        <v>280</v>
      </c>
      <c r="F76" s="293">
        <f ca="1">IF(E76="","",(VLOOKUP($D76,master_food_list,'Master Food List'!O$91,FALSE)))</f>
        <v>34</v>
      </c>
      <c r="G76" s="293">
        <f ca="1">IF(F76="","",(VLOOKUP($D76,master_food_list,'Master Food List'!P$91,FALSE)))</f>
        <v>2</v>
      </c>
      <c r="H76" s="293">
        <f ca="1">IF(G76="","",(VLOOKUP($D76,master_food_list,'Master Food List'!Q$91,FALSE)))</f>
        <v>17</v>
      </c>
      <c r="I76" s="293">
        <f ca="1">IF(H76="","",(VLOOKUP($D76,master_food_list,'Master Food List'!R$91,FALSE)))</f>
        <v>0</v>
      </c>
      <c r="J76" s="293">
        <f ca="1">IF(I76="","",(VLOOKUP($D76,master_food_list,'Master Food List'!S$91,FALSE)))</f>
        <v>0</v>
      </c>
      <c r="K76" s="293">
        <f ca="1">IF(J76="","",(VLOOKUP($D76,master_food_list,'Master Food List'!T$91,FALSE)))</f>
        <v>140</v>
      </c>
    </row>
    <row r="77" spans="1:16" customFormat="1" ht="17" x14ac:dyDescent="0.2">
      <c r="A77" s="286">
        <v>10</v>
      </c>
      <c r="B77" s="287" t="s">
        <v>463</v>
      </c>
      <c r="C77" s="287" t="s">
        <v>460</v>
      </c>
      <c r="D77" s="289"/>
      <c r="E77" s="293" t="str">
        <f>IF(D77="","",(VLOOKUP($D77,master_food_list,'Master Food List'!N$91,FALSE)))</f>
        <v/>
      </c>
      <c r="F77" s="293" t="str">
        <f>IF(E77="","",(VLOOKUP($D77,master_food_list,'Master Food List'!O$91,FALSE)))</f>
        <v/>
      </c>
      <c r="G77" s="293" t="str">
        <f>IF(F77="","",(VLOOKUP($D77,master_food_list,'Master Food List'!P$91,FALSE)))</f>
        <v/>
      </c>
      <c r="H77" s="293" t="str">
        <f>IF(G77="","",(VLOOKUP($D77,master_food_list,'Master Food List'!Q$91,FALSE)))</f>
        <v/>
      </c>
      <c r="I77" s="293" t="str">
        <f>IF(H77="","",(VLOOKUP($D77,master_food_list,'Master Food List'!R$91,FALSE)))</f>
        <v/>
      </c>
      <c r="J77" s="293" t="str">
        <f>IF(I77="","",(VLOOKUP($D77,master_food_list,'Master Food List'!S$91,FALSE)))</f>
        <v/>
      </c>
      <c r="K77" s="293" t="str">
        <f>IF(J77="","",(VLOOKUP($D77,master_food_list,'Master Food List'!T$91,FALSE)))</f>
        <v/>
      </c>
    </row>
    <row r="78" spans="1:16" customFormat="1" ht="34" x14ac:dyDescent="0.2">
      <c r="A78" s="286">
        <v>10</v>
      </c>
      <c r="B78" s="287" t="s">
        <v>463</v>
      </c>
      <c r="C78" s="287" t="s">
        <v>459</v>
      </c>
      <c r="D78" s="288" t="s">
        <v>327</v>
      </c>
      <c r="E78" s="293">
        <f ca="1">IF(D78="","",(VLOOKUP($D78,master_food_list,'Master Food List'!N$91,FALSE)))</f>
        <v>130</v>
      </c>
      <c r="F78" s="293">
        <f ca="1">IF(E78="","",(VLOOKUP($D78,master_food_list,'Master Food List'!O$91,FALSE)))</f>
        <v>8</v>
      </c>
      <c r="G78" s="293">
        <f ca="1">IF(F78="","",(VLOOKUP($D78,master_food_list,'Master Food List'!P$91,FALSE)))</f>
        <v>7</v>
      </c>
      <c r="H78" s="293">
        <f ca="1">IF(G78="","",(VLOOKUP($D78,master_food_list,'Master Food List'!Q$91,FALSE)))</f>
        <v>8</v>
      </c>
      <c r="I78" s="293">
        <f ca="1">IF(H78="","",(VLOOKUP($D78,master_food_list,'Master Food List'!R$91,FALSE)))</f>
        <v>320</v>
      </c>
      <c r="J78" s="293">
        <f ca="1">IF(I78="","",(VLOOKUP($D78,master_food_list,'Master Food List'!S$91,FALSE)))</f>
        <v>0</v>
      </c>
      <c r="K78" s="293">
        <f ca="1">IF(J78="","",(VLOOKUP($D78,master_food_list,'Master Food List'!T$91,FALSE)))</f>
        <v>99.999999999999986</v>
      </c>
    </row>
    <row r="79" spans="1:16" customFormat="1" ht="17" x14ac:dyDescent="0.2">
      <c r="A79" s="286">
        <v>10</v>
      </c>
      <c r="B79" s="287" t="s">
        <v>463</v>
      </c>
      <c r="C79" s="287" t="s">
        <v>458</v>
      </c>
      <c r="D79" s="289" t="s">
        <v>336</v>
      </c>
      <c r="E79" s="293">
        <f ca="1">IF(D79="","",(VLOOKUP($D79,master_food_list,'Master Food List'!N$91,FALSE)))</f>
        <v>575</v>
      </c>
      <c r="F79" s="293">
        <f ca="1">IF(E79="","",(VLOOKUP($D79,master_food_list,'Master Food List'!O$91,FALSE)))</f>
        <v>77.5</v>
      </c>
      <c r="G79" s="293">
        <f ca="1">IF(F79="","",(VLOOKUP($D79,master_food_list,'Master Food List'!P$91,FALSE)))</f>
        <v>30</v>
      </c>
      <c r="H79" s="293">
        <f ca="1">IF(G79="","",(VLOOKUP($D79,master_food_list,'Master Food List'!Q$91,FALSE)))</f>
        <v>15</v>
      </c>
      <c r="I79" s="293">
        <f ca="1">IF(H79="","",(VLOOKUP($D79,master_food_list,'Master Food List'!R$91,FALSE)))</f>
        <v>1950</v>
      </c>
      <c r="J79" s="293">
        <f ca="1">IF(I79="","",(VLOOKUP($D79,master_food_list,'Master Food List'!S$91,FALSE)))</f>
        <v>0</v>
      </c>
      <c r="K79" s="293">
        <f ca="1">IF(J79="","",(VLOOKUP($D79,master_food_list,'Master Food List'!T$91,FALSE)))</f>
        <v>117.2870984191739</v>
      </c>
    </row>
    <row r="80" spans="1:16" customFormat="1" ht="17" x14ac:dyDescent="0.2">
      <c r="A80" s="286">
        <v>10</v>
      </c>
      <c r="B80" s="287" t="s">
        <v>463</v>
      </c>
      <c r="C80" s="287" t="s">
        <v>457</v>
      </c>
      <c r="D80" s="289" t="s">
        <v>479</v>
      </c>
      <c r="E80" s="293">
        <f ca="1">IF(D80="","",(VLOOKUP($D80,master_food_list,'Master Food List'!N$91,FALSE)))</f>
        <v>300</v>
      </c>
      <c r="F80" s="293">
        <f ca="1">IF(E80="","",(VLOOKUP($D80,master_food_list,'Master Food List'!O$91,FALSE)))</f>
        <v>10.5</v>
      </c>
      <c r="G80" s="293">
        <f ca="1">IF(F80="","",(VLOOKUP($D80,master_food_list,'Master Food List'!P$91,FALSE)))</f>
        <v>10.5</v>
      </c>
      <c r="H80" s="293">
        <f ca="1">IF(G80="","",(VLOOKUP($D80,master_food_list,'Master Food List'!Q$91,FALSE)))</f>
        <v>25.5</v>
      </c>
      <c r="I80" s="293">
        <f ca="1">IF(H80="","",(VLOOKUP($D80,master_food_list,'Master Food List'!R$91,FALSE)))</f>
        <v>150</v>
      </c>
      <c r="J80" s="293">
        <f ca="1">IF(I80="","",(VLOOKUP($D80,master_food_list,'Master Food List'!S$91,FALSE)))</f>
        <v>0</v>
      </c>
      <c r="K80" s="293">
        <f ca="1">IF(J80="","",(VLOOKUP($D80,master_food_list,'Master Food List'!T$91,FALSE)))</f>
        <v>177.77777777777777</v>
      </c>
    </row>
    <row r="81" spans="1:14" customFormat="1" ht="17" x14ac:dyDescent="0.2">
      <c r="A81" s="304">
        <v>10</v>
      </c>
      <c r="B81" s="305" t="s">
        <v>463</v>
      </c>
      <c r="C81" s="305" t="s">
        <v>455</v>
      </c>
      <c r="D81" s="306" t="s">
        <v>478</v>
      </c>
      <c r="E81" s="307">
        <f ca="1">IF(D81="","",(VLOOKUP($D81,master_food_list,'Master Food List'!N$91,FALSE)))</f>
        <v>540</v>
      </c>
      <c r="F81" s="307">
        <f ca="1">IF(E81="","",(VLOOKUP($D81,master_food_list,'Master Food List'!O$91,FALSE)))</f>
        <v>105</v>
      </c>
      <c r="G81" s="307">
        <f ca="1">IF(F81="","",(VLOOKUP($D81,master_food_list,'Master Food List'!P$91,FALSE)))</f>
        <v>6</v>
      </c>
      <c r="H81" s="307">
        <f ca="1">IF(G81="","",(VLOOKUP($D81,master_food_list,'Master Food List'!Q$91,FALSE)))</f>
        <v>12</v>
      </c>
      <c r="I81" s="307">
        <f ca="1">IF(H81="","",(VLOOKUP($D81,master_food_list,'Master Food List'!R$91,FALSE)))</f>
        <v>240</v>
      </c>
      <c r="J81" s="307">
        <f ca="1">IF(I81="","",(VLOOKUP($D81,master_food_list,'Master Food List'!S$91,FALSE)))</f>
        <v>0</v>
      </c>
      <c r="K81" s="307">
        <f ca="1">IF(J81="","",(VLOOKUP($D81,master_food_list,'Master Food List'!T$91,FALSE)))</f>
        <v>117.64705882352942</v>
      </c>
    </row>
    <row r="82" spans="1:14" s="190" customFormat="1" ht="34" x14ac:dyDescent="0.2">
      <c r="A82" s="278">
        <v>11</v>
      </c>
      <c r="B82" s="279" t="s">
        <v>15</v>
      </c>
      <c r="C82" s="279" t="s">
        <v>462</v>
      </c>
      <c r="D82" s="280" t="s">
        <v>498</v>
      </c>
      <c r="E82" s="291">
        <f ca="1">IF(D82="","",(VLOOKUP($D82,master_food_list,'Master Food List'!N$91,FALSE)))</f>
        <v>1020</v>
      </c>
      <c r="F82" s="291">
        <f ca="1">IF(E82="","",(VLOOKUP($D82,master_food_list,'Master Food List'!O$91,FALSE)))</f>
        <v>96</v>
      </c>
      <c r="G82" s="291">
        <f ca="1">IF(F82="","",(VLOOKUP($D82,master_food_list,'Master Food List'!P$91,FALSE)))</f>
        <v>34</v>
      </c>
      <c r="H82" s="291">
        <f ca="1">IF(G82="","",(VLOOKUP($D82,master_food_list,'Master Food List'!Q$91,FALSE)))</f>
        <v>53</v>
      </c>
      <c r="I82" s="291">
        <f ca="1">IF(H82="","",(VLOOKUP($D82,master_food_list,'Master Food List'!R$91,FALSE)))</f>
        <v>2460</v>
      </c>
      <c r="J82" s="291">
        <f ca="1">IF(I82="","",(VLOOKUP($D82,master_food_list,'Master Food List'!S$91,FALSE)))</f>
        <v>0</v>
      </c>
      <c r="K82" s="291">
        <f ca="1">IF(J82="","",(VLOOKUP($D82,master_food_list,'Master Food List'!T$91,FALSE)))</f>
        <v>0</v>
      </c>
      <c r="M82"/>
      <c r="N82"/>
    </row>
    <row r="83" spans="1:14" s="190" customFormat="1" ht="34" x14ac:dyDescent="0.2">
      <c r="A83" s="278">
        <v>11</v>
      </c>
      <c r="B83" s="279" t="s">
        <v>15</v>
      </c>
      <c r="C83" s="279" t="s">
        <v>461</v>
      </c>
      <c r="D83" s="280" t="s">
        <v>325</v>
      </c>
      <c r="E83" s="291">
        <f ca="1">IF(D83="","",(VLOOKUP($D83,master_food_list,'Master Food List'!N$91,FALSE)))</f>
        <v>130</v>
      </c>
      <c r="F83" s="291">
        <f ca="1">IF(E83="","",(VLOOKUP($D83,master_food_list,'Master Food List'!O$91,FALSE)))</f>
        <v>12</v>
      </c>
      <c r="G83" s="291">
        <f ca="1">IF(F83="","",(VLOOKUP($D83,master_food_list,'Master Food List'!P$91,FALSE)))</f>
        <v>8</v>
      </c>
      <c r="H83" s="291">
        <f ca="1">IF(G83="","",(VLOOKUP($D83,master_food_list,'Master Food List'!Q$91,FALSE)))</f>
        <v>6</v>
      </c>
      <c r="I83" s="291">
        <f ca="1">IF(H83="","",(VLOOKUP($D83,master_food_list,'Master Food List'!R$91,FALSE)))</f>
        <v>290</v>
      </c>
      <c r="J83" s="291">
        <f ca="1">IF(I83="","",(VLOOKUP($D83,master_food_list,'Master Food List'!S$91,FALSE)))</f>
        <v>0</v>
      </c>
      <c r="K83" s="291">
        <f ca="1">IF(J83="","",(VLOOKUP($D83,master_food_list,'Master Food List'!T$91,FALSE)))</f>
        <v>99.999999999999986</v>
      </c>
      <c r="M83"/>
      <c r="N83"/>
    </row>
    <row r="84" spans="1:14" s="190" customFormat="1" ht="34" x14ac:dyDescent="0.2">
      <c r="A84" s="278">
        <v>11</v>
      </c>
      <c r="B84" s="279" t="s">
        <v>15</v>
      </c>
      <c r="C84" s="279" t="s">
        <v>460</v>
      </c>
      <c r="D84" s="281" t="s">
        <v>495</v>
      </c>
      <c r="E84" s="291">
        <f ca="1">IF(D84="","",(VLOOKUP($D84,master_food_list,'Master Food List'!N$91,FALSE)))</f>
        <v>122</v>
      </c>
      <c r="F84" s="291">
        <f ca="1">IF(E84="","",(VLOOKUP($D84,master_food_list,'Master Food List'!O$91,FALSE)))</f>
        <v>18</v>
      </c>
      <c r="G84" s="291">
        <f ca="1">IF(F84="","",(VLOOKUP($D84,master_food_list,'Master Food List'!P$91,FALSE)))</f>
        <v>9</v>
      </c>
      <c r="H84" s="291">
        <f ca="1">IF(G84="","",(VLOOKUP($D84,master_food_list,'Master Food List'!Q$91,FALSE)))</f>
        <v>7.5</v>
      </c>
      <c r="I84" s="291">
        <f ca="1">IF(H84="","",(VLOOKUP($D84,master_food_list,'Master Food List'!R$91,FALSE)))</f>
        <v>105</v>
      </c>
      <c r="J84" s="291">
        <f ca="1">IF(I84="","",(VLOOKUP($D84,master_food_list,'Master Food List'!S$91,FALSE)))</f>
        <v>0</v>
      </c>
      <c r="K84" s="291">
        <f ca="1">IF(J84="","",(VLOOKUP($D84,master_food_list,'Master Food List'!T$91,FALSE)))</f>
        <v>0</v>
      </c>
      <c r="M84"/>
      <c r="N84"/>
    </row>
    <row r="85" spans="1:14" s="190" customFormat="1" ht="34" x14ac:dyDescent="0.2">
      <c r="A85" s="278">
        <v>11</v>
      </c>
      <c r="B85" s="279" t="s">
        <v>15</v>
      </c>
      <c r="C85" s="279" t="s">
        <v>459</v>
      </c>
      <c r="D85" s="280" t="s">
        <v>522</v>
      </c>
      <c r="E85" s="291">
        <f ca="1">IF(D85="","",(VLOOKUP($D85,master_food_list,'Master Food List'!N$91,FALSE)))</f>
        <v>300</v>
      </c>
      <c r="F85" s="291">
        <f ca="1">IF(E85="","",(VLOOKUP($D85,master_food_list,'Master Food List'!O$91,FALSE)))</f>
        <v>26</v>
      </c>
      <c r="G85" s="291">
        <f ca="1">IF(F85="","",(VLOOKUP($D85,master_food_list,'Master Food List'!P$91,FALSE)))</f>
        <v>4</v>
      </c>
      <c r="H85" s="291">
        <f ca="1">IF(G85="","",(VLOOKUP($D85,master_food_list,'Master Food List'!Q$91,FALSE)))</f>
        <v>20</v>
      </c>
      <c r="I85" s="291">
        <f ca="1">IF(H85="","",(VLOOKUP($D85,master_food_list,'Master Food List'!R$91,FALSE)))</f>
        <v>500</v>
      </c>
      <c r="J85" s="291">
        <f ca="1">IF(I85="","",(VLOOKUP($D85,master_food_list,'Master Food List'!S$91,FALSE)))</f>
        <v>0</v>
      </c>
      <c r="K85" s="291">
        <f ca="1">IF(J85="","",(VLOOKUP($D85,master_food_list,'Master Food List'!T$91,FALSE)))</f>
        <v>154.28571428571428</v>
      </c>
      <c r="M85"/>
      <c r="N85"/>
    </row>
    <row r="86" spans="1:14" s="190" customFormat="1" ht="34" x14ac:dyDescent="0.2">
      <c r="A86" s="278">
        <v>11</v>
      </c>
      <c r="B86" s="279" t="s">
        <v>15</v>
      </c>
      <c r="C86" s="279" t="s">
        <v>458</v>
      </c>
      <c r="D86" s="281" t="s">
        <v>493</v>
      </c>
      <c r="E86" s="291">
        <f ca="1">IF(D86="","",(VLOOKUP($D86,master_food_list,'Master Food List'!N$91,FALSE)))</f>
        <v>1000</v>
      </c>
      <c r="F86" s="291">
        <f ca="1">IF(E86="","",(VLOOKUP($D86,master_food_list,'Master Food List'!O$91,FALSE)))</f>
        <v>112</v>
      </c>
      <c r="G86" s="291">
        <f ca="1">IF(F86="","",(VLOOKUP($D86,master_food_list,'Master Food List'!P$91,FALSE)))</f>
        <v>40</v>
      </c>
      <c r="H86" s="291">
        <f ca="1">IF(G86="","",(VLOOKUP($D86,master_food_list,'Master Food List'!Q$91,FALSE)))</f>
        <v>52</v>
      </c>
      <c r="I86" s="291">
        <f ca="1">IF(H86="","",(VLOOKUP($D86,master_food_list,'Master Food List'!R$91,FALSE)))</f>
        <v>460</v>
      </c>
      <c r="J86" s="291">
        <f ca="1">IF(I86="","",(VLOOKUP($D86,master_food_list,'Master Food List'!S$91,FALSE)))</f>
        <v>0</v>
      </c>
      <c r="K86" s="291">
        <f ca="1">IF(J86="","",(VLOOKUP($D86,master_food_list,'Master Food List'!T$91,FALSE)))</f>
        <v>123.4567901234568</v>
      </c>
      <c r="M86"/>
      <c r="N86"/>
    </row>
    <row r="87" spans="1:14" s="190" customFormat="1" ht="34" x14ac:dyDescent="0.2">
      <c r="A87" s="278">
        <v>11</v>
      </c>
      <c r="B87" s="279" t="s">
        <v>15</v>
      </c>
      <c r="C87" s="279" t="s">
        <v>457</v>
      </c>
      <c r="D87" s="281"/>
      <c r="E87" s="291" t="str">
        <f>IF(D87="","",(VLOOKUP($D87,master_food_list,'Master Food List'!N$91,FALSE)))</f>
        <v/>
      </c>
      <c r="F87" s="291" t="str">
        <f>IF(E87="","",(VLOOKUP($D87,master_food_list,'Master Food List'!O$91,FALSE)))</f>
        <v/>
      </c>
      <c r="G87" s="291" t="str">
        <f>IF(F87="","",(VLOOKUP($D87,master_food_list,'Master Food List'!P$91,FALSE)))</f>
        <v/>
      </c>
      <c r="H87" s="291" t="str">
        <f>IF(G87="","",(VLOOKUP($D87,master_food_list,'Master Food List'!Q$91,FALSE)))</f>
        <v/>
      </c>
      <c r="I87" s="291" t="str">
        <f>IF(H87="","",(VLOOKUP($D87,master_food_list,'Master Food List'!R$91,FALSE)))</f>
        <v/>
      </c>
      <c r="J87" s="291" t="str">
        <f>IF(I87="","",(VLOOKUP($D87,master_food_list,'Master Food List'!S$91,FALSE)))</f>
        <v/>
      </c>
      <c r="K87" s="291" t="str">
        <f>IF(J87="","",(VLOOKUP($D87,master_food_list,'Master Food List'!T$91,FALSE)))</f>
        <v/>
      </c>
      <c r="M87"/>
      <c r="N87"/>
    </row>
    <row r="88" spans="1:14" s="190" customFormat="1" ht="34" x14ac:dyDescent="0.2">
      <c r="A88" s="278">
        <v>11</v>
      </c>
      <c r="B88" s="279" t="s">
        <v>15</v>
      </c>
      <c r="C88" s="279" t="s">
        <v>455</v>
      </c>
      <c r="D88" s="281" t="s">
        <v>482</v>
      </c>
      <c r="E88" s="291">
        <f ca="1">IF(D88="","",(VLOOKUP($D88,master_food_list,'Master Food List'!N$91,FALSE)))</f>
        <v>110</v>
      </c>
      <c r="F88" s="291">
        <f ca="1">IF(E88="","",(VLOOKUP($D88,master_food_list,'Master Food List'!O$91,FALSE)))</f>
        <v>21</v>
      </c>
      <c r="G88" s="291">
        <f ca="1">IF(F88="","",(VLOOKUP($D88,master_food_list,'Master Food List'!P$91,FALSE)))</f>
        <v>1</v>
      </c>
      <c r="H88" s="291">
        <f ca="1">IF(G88="","",(VLOOKUP($D88,master_food_list,'Master Food List'!Q$91,FALSE)))</f>
        <v>2</v>
      </c>
      <c r="I88" s="291">
        <f ca="1">IF(H88="","",(VLOOKUP($D88,master_food_list,'Master Food List'!R$91,FALSE)))</f>
        <v>150</v>
      </c>
      <c r="J88" s="291">
        <f ca="1">IF(I88="","",(VLOOKUP($D88,master_food_list,'Master Food List'!S$91,FALSE)))</f>
        <v>0</v>
      </c>
      <c r="K88" s="291">
        <f ca="1">IF(J88="","",(VLOOKUP($D88,master_food_list,'Master Food List'!T$91,FALSE)))</f>
        <v>118.27956989247312</v>
      </c>
      <c r="M88"/>
      <c r="N88"/>
    </row>
    <row r="89" spans="1:14" s="189" customFormat="1" ht="34" x14ac:dyDescent="0.2">
      <c r="A89" s="282">
        <v>12</v>
      </c>
      <c r="B89" s="283" t="s">
        <v>15</v>
      </c>
      <c r="C89" s="283" t="s">
        <v>462</v>
      </c>
      <c r="D89" s="284" t="s">
        <v>480</v>
      </c>
      <c r="E89" s="292">
        <f ca="1">IF(D89="","",(VLOOKUP($D89,master_food_list,'Master Food List'!N$91,FALSE)))</f>
        <v>620</v>
      </c>
      <c r="F89" s="292">
        <f ca="1">IF(E89="","",(VLOOKUP($D89,master_food_list,'Master Food List'!O$91,FALSE)))</f>
        <v>74</v>
      </c>
      <c r="G89" s="292">
        <f ca="1">IF(F89="","",(VLOOKUP($D89,master_food_list,'Master Food List'!P$91,FALSE)))</f>
        <v>16</v>
      </c>
      <c r="H89" s="292">
        <f ca="1">IF(G89="","",(VLOOKUP($D89,master_food_list,'Master Food List'!Q$91,FALSE)))</f>
        <v>31</v>
      </c>
      <c r="I89" s="292">
        <f ca="1">IF(H89="","",(VLOOKUP($D89,master_food_list,'Master Food List'!R$91,FALSE)))</f>
        <v>280</v>
      </c>
      <c r="J89" s="292">
        <f ca="1">IF(I89="","",(VLOOKUP($D89,master_food_list,'Master Food List'!S$91,FALSE)))</f>
        <v>0</v>
      </c>
      <c r="K89" s="292">
        <f ca="1">IF(J89="","",(VLOOKUP($D89,master_food_list,'Master Food List'!T$91,FALSE)))</f>
        <v>130.52631578947367</v>
      </c>
      <c r="M89"/>
      <c r="N89"/>
    </row>
    <row r="90" spans="1:14" s="189" customFormat="1" ht="51" x14ac:dyDescent="0.2">
      <c r="A90" s="282">
        <v>12</v>
      </c>
      <c r="B90" s="283" t="s">
        <v>15</v>
      </c>
      <c r="C90" s="283" t="s">
        <v>461</v>
      </c>
      <c r="D90" s="284" t="s">
        <v>430</v>
      </c>
      <c r="E90" s="292">
        <f ca="1">IF(D90="","",(VLOOKUP($D90,master_food_list,'Master Food List'!N$91,FALSE)))</f>
        <v>510</v>
      </c>
      <c r="F90" s="292">
        <f ca="1">IF(E90="","",(VLOOKUP($D90,master_food_list,'Master Food List'!O$91,FALSE)))</f>
        <v>42</v>
      </c>
      <c r="G90" s="292">
        <f ca="1">IF(F90="","",(VLOOKUP($D90,master_food_list,'Master Food List'!P$91,FALSE)))</f>
        <v>10.5</v>
      </c>
      <c r="H90" s="292">
        <f ca="1">IF(G90="","",(VLOOKUP($D90,master_food_list,'Master Food List'!Q$91,FALSE)))</f>
        <v>33</v>
      </c>
      <c r="I90" s="292">
        <f ca="1">IF(H90="","",(VLOOKUP($D90,master_food_list,'Master Food List'!R$91,FALSE)))</f>
        <v>75</v>
      </c>
      <c r="J90" s="292">
        <f ca="1">IF(I90="","",(VLOOKUP($D90,master_food_list,'Master Food List'!S$91,FALSE)))</f>
        <v>0</v>
      </c>
      <c r="K90" s="292">
        <f ca="1">IF(J90="","",(VLOOKUP($D90,master_food_list,'Master Food List'!T$91,FALSE)))</f>
        <v>170</v>
      </c>
      <c r="M90"/>
      <c r="N90"/>
    </row>
    <row r="91" spans="1:14" s="189" customFormat="1" ht="34" x14ac:dyDescent="0.2">
      <c r="A91" s="282">
        <v>12</v>
      </c>
      <c r="B91" s="283" t="s">
        <v>15</v>
      </c>
      <c r="C91" s="283" t="s">
        <v>460</v>
      </c>
      <c r="D91" s="285" t="s">
        <v>495</v>
      </c>
      <c r="E91" s="292">
        <f ca="1">IF(D91="","",(VLOOKUP($D91,master_food_list,'Master Food List'!N$91,FALSE)))</f>
        <v>122</v>
      </c>
      <c r="F91" s="292">
        <f ca="1">IF(E91="","",(VLOOKUP($D91,master_food_list,'Master Food List'!O$91,FALSE)))</f>
        <v>18</v>
      </c>
      <c r="G91" s="292">
        <f ca="1">IF(F91="","",(VLOOKUP($D91,master_food_list,'Master Food List'!P$91,FALSE)))</f>
        <v>9</v>
      </c>
      <c r="H91" s="292">
        <f ca="1">IF(G91="","",(VLOOKUP($D91,master_food_list,'Master Food List'!Q$91,FALSE)))</f>
        <v>7.5</v>
      </c>
      <c r="I91" s="292">
        <f ca="1">IF(H91="","",(VLOOKUP($D91,master_food_list,'Master Food List'!R$91,FALSE)))</f>
        <v>105</v>
      </c>
      <c r="J91" s="292">
        <f ca="1">IF(I91="","",(VLOOKUP($D91,master_food_list,'Master Food List'!S$91,FALSE)))</f>
        <v>0</v>
      </c>
      <c r="K91" s="292">
        <f ca="1">IF(J91="","",(VLOOKUP($D91,master_food_list,'Master Food List'!T$91,FALSE)))</f>
        <v>0</v>
      </c>
      <c r="M91"/>
      <c r="N91"/>
    </row>
    <row r="92" spans="1:14" s="189" customFormat="1" ht="34" x14ac:dyDescent="0.2">
      <c r="A92" s="282">
        <v>12</v>
      </c>
      <c r="B92" s="283" t="s">
        <v>15</v>
      </c>
      <c r="C92" s="283" t="s">
        <v>459</v>
      </c>
      <c r="D92" s="284" t="s">
        <v>347</v>
      </c>
      <c r="E92" s="292">
        <f ca="1">IF(D92="","",(VLOOKUP($D92,master_food_list,'Master Food List'!N$91,FALSE)))</f>
        <v>665</v>
      </c>
      <c r="F92" s="292">
        <f ca="1">IF(E92="","",(VLOOKUP($D92,master_food_list,'Master Food List'!O$91,FALSE)))</f>
        <v>0</v>
      </c>
      <c r="G92" s="292">
        <f ca="1">IF(F92="","",(VLOOKUP($D92,master_food_list,'Master Food List'!P$91,FALSE)))</f>
        <v>35</v>
      </c>
      <c r="H92" s="292">
        <f ca="1">IF(G92="","",(VLOOKUP($D92,master_food_list,'Master Food List'!Q$91,FALSE)))</f>
        <v>56</v>
      </c>
      <c r="I92" s="292">
        <f ca="1">IF(H92="","",(VLOOKUP($D92,master_food_list,'Master Food List'!R$91,FALSE)))</f>
        <v>2415</v>
      </c>
      <c r="J92" s="292">
        <f ca="1">IF(I92="","",(VLOOKUP($D92,master_food_list,'Master Food List'!S$91,FALSE)))</f>
        <v>0</v>
      </c>
      <c r="K92" s="292">
        <f ca="1">IF(J92="","",(VLOOKUP($D92,master_food_list,'Master Food List'!T$91,FALSE)))</f>
        <v>180.70652173913044</v>
      </c>
      <c r="M92"/>
      <c r="N92"/>
    </row>
    <row r="93" spans="1:14" s="189" customFormat="1" ht="34" x14ac:dyDescent="0.2">
      <c r="A93" s="282">
        <v>12</v>
      </c>
      <c r="B93" s="283" t="s">
        <v>15</v>
      </c>
      <c r="C93" s="283" t="s">
        <v>458</v>
      </c>
      <c r="D93" s="285" t="s">
        <v>452</v>
      </c>
      <c r="E93" s="292">
        <f ca="1">IF(D93="","",(VLOOKUP($D93,master_food_list,'Master Food List'!N$91,FALSE)))</f>
        <v>620</v>
      </c>
      <c r="F93" s="292">
        <f ca="1">IF(E93="","",(VLOOKUP($D93,master_food_list,'Master Food List'!O$91,FALSE)))</f>
        <v>124</v>
      </c>
      <c r="G93" s="292">
        <f ca="1">IF(F93="","",(VLOOKUP($D93,master_food_list,'Master Food List'!P$91,FALSE)))</f>
        <v>22</v>
      </c>
      <c r="H93" s="292">
        <f ca="1">IF(G93="","",(VLOOKUP($D93,master_food_list,'Master Food List'!Q$91,FALSE)))</f>
        <v>7</v>
      </c>
      <c r="I93" s="292">
        <f ca="1">IF(H93="","",(VLOOKUP($D93,master_food_list,'Master Food List'!R$91,FALSE)))</f>
        <v>360</v>
      </c>
      <c r="J93" s="292">
        <f ca="1">IF(I93="","",(VLOOKUP($D93,master_food_list,'Master Food List'!S$91,FALSE)))</f>
        <v>0</v>
      </c>
      <c r="K93" s="292">
        <f ca="1">IF(J93="","",(VLOOKUP($D93,master_food_list,'Master Food List'!T$91,FALSE)))</f>
        <v>103.33333333333333</v>
      </c>
      <c r="M93"/>
      <c r="N93"/>
    </row>
    <row r="94" spans="1:14" s="189" customFormat="1" ht="34" x14ac:dyDescent="0.2">
      <c r="A94" s="282">
        <v>12</v>
      </c>
      <c r="B94" s="283" t="s">
        <v>15</v>
      </c>
      <c r="C94" s="283" t="s">
        <v>457</v>
      </c>
      <c r="D94" s="285" t="s">
        <v>479</v>
      </c>
      <c r="E94" s="292">
        <f ca="1">IF(D94="","",(VLOOKUP($D94,master_food_list,'Master Food List'!N$91,FALSE)))</f>
        <v>300</v>
      </c>
      <c r="F94" s="292">
        <f ca="1">IF(E94="","",(VLOOKUP($D94,master_food_list,'Master Food List'!O$91,FALSE)))</f>
        <v>10.5</v>
      </c>
      <c r="G94" s="292">
        <f ca="1">IF(F94="","",(VLOOKUP($D94,master_food_list,'Master Food List'!P$91,FALSE)))</f>
        <v>10.5</v>
      </c>
      <c r="H94" s="292">
        <f ca="1">IF(G94="","",(VLOOKUP($D94,master_food_list,'Master Food List'!Q$91,FALSE)))</f>
        <v>25.5</v>
      </c>
      <c r="I94" s="292">
        <f ca="1">IF(H94="","",(VLOOKUP($D94,master_food_list,'Master Food List'!R$91,FALSE)))</f>
        <v>150</v>
      </c>
      <c r="J94" s="292">
        <f ca="1">IF(I94="","",(VLOOKUP($D94,master_food_list,'Master Food List'!S$91,FALSE)))</f>
        <v>0</v>
      </c>
      <c r="K94" s="292">
        <f ca="1">IF(J94="","",(VLOOKUP($D94,master_food_list,'Master Food List'!T$91,FALSE)))</f>
        <v>177.77777777777777</v>
      </c>
      <c r="M94"/>
      <c r="N94"/>
    </row>
    <row r="95" spans="1:14" s="189" customFormat="1" ht="34" x14ac:dyDescent="0.2">
      <c r="A95" s="282">
        <v>12</v>
      </c>
      <c r="B95" s="283" t="s">
        <v>15</v>
      </c>
      <c r="C95" s="283" t="s">
        <v>455</v>
      </c>
      <c r="D95" s="285" t="s">
        <v>483</v>
      </c>
      <c r="E95" s="292">
        <f ca="1">IF(D95="","",(VLOOKUP($D95,master_food_list,'Master Food List'!N$91,FALSE)))</f>
        <v>200</v>
      </c>
      <c r="F95" s="292">
        <f ca="1">IF(E95="","",(VLOOKUP($D95,master_food_list,'Master Food List'!O$91,FALSE)))</f>
        <v>31</v>
      </c>
      <c r="G95" s="292">
        <f ca="1">IF(F95="","",(VLOOKUP($D95,master_food_list,'Master Food List'!P$91,FALSE)))</f>
        <v>2</v>
      </c>
      <c r="H95" s="292">
        <f ca="1">IF(G95="","",(VLOOKUP($D95,master_food_list,'Master Food List'!Q$91,FALSE)))</f>
        <v>8</v>
      </c>
      <c r="I95" s="292">
        <f ca="1">IF(H95="","",(VLOOKUP($D95,master_food_list,'Master Food List'!R$91,FALSE)))</f>
        <v>30</v>
      </c>
      <c r="J95" s="292">
        <f ca="1">IF(I95="","",(VLOOKUP($D95,master_food_list,'Master Food List'!S$91,FALSE)))</f>
        <v>0</v>
      </c>
      <c r="K95" s="292">
        <f ca="1">IF(J95="","",(VLOOKUP($D95,master_food_list,'Master Food List'!T$91,FALSE)))</f>
        <v>133.33333333333334</v>
      </c>
      <c r="M95"/>
      <c r="N95"/>
    </row>
    <row r="96" spans="1:14" customFormat="1" ht="34" x14ac:dyDescent="0.2">
      <c r="A96" s="286">
        <v>13</v>
      </c>
      <c r="B96" s="287" t="s">
        <v>15</v>
      </c>
      <c r="C96" s="287" t="s">
        <v>462</v>
      </c>
      <c r="D96" s="288" t="s">
        <v>485</v>
      </c>
      <c r="E96" s="293">
        <f ca="1">IF(D96="","",(VLOOKUP($D96,master_food_list,'Master Food List'!N$91,FALSE)))</f>
        <v>500</v>
      </c>
      <c r="F96" s="293">
        <f ca="1">IF(E96="","",(VLOOKUP($D96,master_food_list,'Master Food List'!O$91,FALSE)))</f>
        <v>74</v>
      </c>
      <c r="G96" s="293">
        <f ca="1">IF(F96="","",(VLOOKUP($D96,master_food_list,'Master Food List'!P$91,FALSE)))</f>
        <v>16</v>
      </c>
      <c r="H96" s="293">
        <f ca="1">IF(G96="","",(VLOOKUP($D96,master_food_list,'Master Food List'!Q$91,FALSE)))</f>
        <v>18</v>
      </c>
      <c r="I96" s="293">
        <f ca="1">IF(H96="","",(VLOOKUP($D96,master_food_list,'Master Food List'!R$91,FALSE)))</f>
        <v>130</v>
      </c>
      <c r="J96" s="293">
        <f ca="1">IF(I96="","",(VLOOKUP($D96,master_food_list,'Master Food List'!S$91,FALSE)))</f>
        <v>0</v>
      </c>
      <c r="K96" s="293">
        <f ca="1">IF(J96="","",(VLOOKUP($D96,master_food_list,'Master Food List'!T$91,FALSE)))</f>
        <v>126.55024044545685</v>
      </c>
    </row>
    <row r="97" spans="1:14" customFormat="1" ht="34" x14ac:dyDescent="0.2">
      <c r="A97" s="286">
        <v>13</v>
      </c>
      <c r="B97" s="287" t="s">
        <v>15</v>
      </c>
      <c r="C97" s="287" t="s">
        <v>461</v>
      </c>
      <c r="D97" s="288" t="s">
        <v>333</v>
      </c>
      <c r="E97" s="293">
        <f ca="1">IF(D97="","",(VLOOKUP($D97,master_food_list,'Master Food List'!N$91,FALSE)))</f>
        <v>325</v>
      </c>
      <c r="F97" s="293">
        <f ca="1">IF(E97="","",(VLOOKUP($D97,master_food_list,'Master Food List'!O$91,FALSE)))</f>
        <v>40</v>
      </c>
      <c r="G97" s="293">
        <f ca="1">IF(F97="","",(VLOOKUP($D97,master_food_list,'Master Food List'!P$91,FALSE)))</f>
        <v>2.5</v>
      </c>
      <c r="H97" s="293">
        <f ca="1">IF(G97="","",(VLOOKUP($D97,master_food_list,'Master Food List'!Q$91,FALSE)))</f>
        <v>17.5</v>
      </c>
      <c r="I97" s="293">
        <f ca="1">IF(H97="","",(VLOOKUP($D97,master_food_list,'Master Food List'!R$91,FALSE)))</f>
        <v>25</v>
      </c>
      <c r="J97" s="293">
        <f ca="1">IF(I97="","",(VLOOKUP($D97,master_food_list,'Master Food List'!S$91,FALSE)))</f>
        <v>0</v>
      </c>
      <c r="K97" s="293">
        <f ca="1">IF(J97="","",(VLOOKUP($D97,master_food_list,'Master Food List'!T$91,FALSE)))</f>
        <v>156.25</v>
      </c>
    </row>
    <row r="98" spans="1:14" customFormat="1" ht="34" x14ac:dyDescent="0.2">
      <c r="A98" s="286">
        <v>13</v>
      </c>
      <c r="B98" s="287" t="s">
        <v>15</v>
      </c>
      <c r="C98" s="287" t="s">
        <v>460</v>
      </c>
      <c r="D98" s="289"/>
      <c r="E98" s="293" t="str">
        <f>IF(D98="","",(VLOOKUP($D98,master_food_list,'Master Food List'!N$91,FALSE)))</f>
        <v/>
      </c>
      <c r="F98" s="293" t="str">
        <f>IF(E98="","",(VLOOKUP($D98,master_food_list,'Master Food List'!O$91,FALSE)))</f>
        <v/>
      </c>
      <c r="G98" s="293" t="str">
        <f>IF(F98="","",(VLOOKUP($D98,master_food_list,'Master Food List'!P$91,FALSE)))</f>
        <v/>
      </c>
      <c r="H98" s="293" t="str">
        <f>IF(G98="","",(VLOOKUP($D98,master_food_list,'Master Food List'!Q$91,FALSE)))</f>
        <v/>
      </c>
      <c r="I98" s="293" t="str">
        <f>IF(H98="","",(VLOOKUP($D98,master_food_list,'Master Food List'!R$91,FALSE)))</f>
        <v/>
      </c>
      <c r="J98" s="293" t="str">
        <f>IF(I98="","",(VLOOKUP($D98,master_food_list,'Master Food List'!S$91,FALSE)))</f>
        <v/>
      </c>
      <c r="K98" s="293" t="str">
        <f>IF(J98="","",(VLOOKUP($D98,master_food_list,'Master Food List'!T$91,FALSE)))</f>
        <v/>
      </c>
    </row>
    <row r="99" spans="1:14" customFormat="1" ht="34" x14ac:dyDescent="0.2">
      <c r="A99" s="286">
        <v>13</v>
      </c>
      <c r="B99" s="287" t="s">
        <v>15</v>
      </c>
      <c r="C99" s="287" t="s">
        <v>459</v>
      </c>
      <c r="D99" s="288" t="s">
        <v>396</v>
      </c>
      <c r="E99" s="293">
        <f ca="1">IF(D99="","",(VLOOKUP($D99,master_food_list,'Master Food List'!N$91,FALSE)))</f>
        <v>270</v>
      </c>
      <c r="F99" s="293">
        <f ca="1">IF(E99="","",(VLOOKUP($D99,master_food_list,'Master Food List'!O$91,FALSE)))</f>
        <v>30</v>
      </c>
      <c r="G99" s="293">
        <f ca="1">IF(F99="","",(VLOOKUP($D99,master_food_list,'Master Food List'!P$91,FALSE)))</f>
        <v>20</v>
      </c>
      <c r="H99" s="293">
        <f ca="1">IF(G99="","",(VLOOKUP($D99,master_food_list,'Master Food List'!Q$91,FALSE)))</f>
        <v>9</v>
      </c>
      <c r="I99" s="293">
        <f ca="1">IF(H99="","",(VLOOKUP($D99,master_food_list,'Master Food List'!R$91,FALSE)))</f>
        <v>200</v>
      </c>
      <c r="J99" s="293">
        <f ca="1">IF(I99="","",(VLOOKUP($D99,master_food_list,'Master Food List'!S$91,FALSE)))</f>
        <v>0</v>
      </c>
      <c r="K99" s="293">
        <f ca="1">IF(J99="","",(VLOOKUP($D99,master_food_list,'Master Food List'!T$91,FALSE)))</f>
        <v>112.5</v>
      </c>
    </row>
    <row r="100" spans="1:14" customFormat="1" ht="34" x14ac:dyDescent="0.2">
      <c r="A100" s="286">
        <v>13</v>
      </c>
      <c r="B100" s="287" t="s">
        <v>15</v>
      </c>
      <c r="C100" s="287" t="s">
        <v>458</v>
      </c>
      <c r="D100" s="289" t="s">
        <v>449</v>
      </c>
      <c r="E100" s="293">
        <f ca="1">IF(D100="","",(VLOOKUP($D100,master_food_list,'Master Food List'!N$91,FALSE)))</f>
        <v>520</v>
      </c>
      <c r="F100" s="293">
        <f ca="1">IF(E100="","",(VLOOKUP($D100,master_food_list,'Master Food List'!O$91,FALSE)))</f>
        <v>104</v>
      </c>
      <c r="G100" s="293">
        <f ca="1">IF(F100="","",(VLOOKUP($D100,master_food_list,'Master Food List'!P$91,FALSE)))</f>
        <v>22</v>
      </c>
      <c r="H100" s="293">
        <f ca="1">IF(G100="","",(VLOOKUP($D100,master_food_list,'Master Food List'!Q$91,FALSE)))</f>
        <v>6</v>
      </c>
      <c r="I100" s="293">
        <f ca="1">IF(H100="","",(VLOOKUP($D100,master_food_list,'Master Food List'!R$91,FALSE)))</f>
        <v>1360</v>
      </c>
      <c r="J100" s="293">
        <f ca="1">IF(I100="","",(VLOOKUP($D100,master_food_list,'Master Food List'!S$91,FALSE)))</f>
        <v>0</v>
      </c>
      <c r="K100" s="293">
        <f ca="1">IF(J100="","",(VLOOKUP($D100,master_food_list,'Master Food List'!T$91,FALSE)))</f>
        <v>92.857142857142861</v>
      </c>
    </row>
    <row r="101" spans="1:14" customFormat="1" ht="34" x14ac:dyDescent="0.2">
      <c r="A101" s="286">
        <v>13</v>
      </c>
      <c r="B101" s="287" t="s">
        <v>15</v>
      </c>
      <c r="C101" s="287" t="s">
        <v>457</v>
      </c>
      <c r="D101" s="289" t="s">
        <v>479</v>
      </c>
      <c r="E101" s="293">
        <f ca="1">IF(D101="","",(VLOOKUP($D101,master_food_list,'Master Food List'!N$91,FALSE)))</f>
        <v>300</v>
      </c>
      <c r="F101" s="293">
        <f ca="1">IF(E101="","",(VLOOKUP($D101,master_food_list,'Master Food List'!O$91,FALSE)))</f>
        <v>10.5</v>
      </c>
      <c r="G101" s="293">
        <f ca="1">IF(F101="","",(VLOOKUP($D101,master_food_list,'Master Food List'!P$91,FALSE)))</f>
        <v>10.5</v>
      </c>
      <c r="H101" s="293">
        <f ca="1">IF(G101="","",(VLOOKUP($D101,master_food_list,'Master Food List'!Q$91,FALSE)))</f>
        <v>25.5</v>
      </c>
      <c r="I101" s="293">
        <f ca="1">IF(H101="","",(VLOOKUP($D101,master_food_list,'Master Food List'!R$91,FALSE)))</f>
        <v>150</v>
      </c>
      <c r="J101" s="293">
        <f ca="1">IF(I101="","",(VLOOKUP($D101,master_food_list,'Master Food List'!S$91,FALSE)))</f>
        <v>0</v>
      </c>
      <c r="K101" s="293">
        <f ca="1">IF(J101="","",(VLOOKUP($D101,master_food_list,'Master Food List'!T$91,FALSE)))</f>
        <v>177.77777777777777</v>
      </c>
    </row>
    <row r="102" spans="1:14" customFormat="1" ht="34" x14ac:dyDescent="0.2">
      <c r="A102" s="286">
        <v>13</v>
      </c>
      <c r="B102" s="287" t="s">
        <v>15</v>
      </c>
      <c r="C102" s="287" t="s">
        <v>455</v>
      </c>
      <c r="D102" s="289" t="s">
        <v>478</v>
      </c>
      <c r="E102" s="293">
        <f ca="1">IF(D102="","",(VLOOKUP($D102,master_food_list,'Master Food List'!N$91,FALSE)))</f>
        <v>540</v>
      </c>
      <c r="F102" s="293">
        <f ca="1">IF(E102="","",(VLOOKUP($D102,master_food_list,'Master Food List'!O$91,FALSE)))</f>
        <v>105</v>
      </c>
      <c r="G102" s="293">
        <f ca="1">IF(F102="","",(VLOOKUP($D102,master_food_list,'Master Food List'!P$91,FALSE)))</f>
        <v>6</v>
      </c>
      <c r="H102" s="293">
        <f ca="1">IF(G102="","",(VLOOKUP($D102,master_food_list,'Master Food List'!Q$91,FALSE)))</f>
        <v>12</v>
      </c>
      <c r="I102" s="293">
        <f ca="1">IF(H102="","",(VLOOKUP($D102,master_food_list,'Master Food List'!R$91,FALSE)))</f>
        <v>240</v>
      </c>
      <c r="J102" s="293">
        <f ca="1">IF(I102="","",(VLOOKUP($D102,master_food_list,'Master Food List'!S$91,FALSE)))</f>
        <v>0</v>
      </c>
      <c r="K102" s="293">
        <f ca="1">IF(J102="","",(VLOOKUP($D102,master_food_list,'Master Food List'!T$91,FALSE)))</f>
        <v>117.64705882352942</v>
      </c>
    </row>
    <row r="103" spans="1:14" customFormat="1" ht="34" x14ac:dyDescent="0.2">
      <c r="A103" s="286">
        <v>14</v>
      </c>
      <c r="B103" s="287" t="s">
        <v>15</v>
      </c>
      <c r="C103" s="287" t="s">
        <v>462</v>
      </c>
      <c r="D103" s="288" t="s">
        <v>480</v>
      </c>
      <c r="E103" s="293">
        <f ca="1">IF(D103="","",(VLOOKUP($D103,master_food_list,'Master Food List'!N$91,FALSE)))</f>
        <v>620</v>
      </c>
      <c r="F103" s="293">
        <f ca="1">IF(E103="","",(VLOOKUP($D103,master_food_list,'Master Food List'!O$91,FALSE)))</f>
        <v>74</v>
      </c>
      <c r="G103" s="293">
        <f ca="1">IF(F103="","",(VLOOKUP($D103,master_food_list,'Master Food List'!P$91,FALSE)))</f>
        <v>16</v>
      </c>
      <c r="H103" s="293">
        <f ca="1">IF(G103="","",(VLOOKUP($D103,master_food_list,'Master Food List'!Q$91,FALSE)))</f>
        <v>31</v>
      </c>
      <c r="I103" s="293">
        <f ca="1">IF(H103="","",(VLOOKUP($D103,master_food_list,'Master Food List'!R$91,FALSE)))</f>
        <v>280</v>
      </c>
      <c r="J103" s="293">
        <f ca="1">IF(I103="","",(VLOOKUP($D103,master_food_list,'Master Food List'!S$91,FALSE)))</f>
        <v>0</v>
      </c>
      <c r="K103" s="293">
        <f ca="1">IF(J103="","",(VLOOKUP($D103,master_food_list,'Master Food List'!T$91,FALSE)))</f>
        <v>130.52631578947367</v>
      </c>
    </row>
    <row r="104" spans="1:14" customFormat="1" ht="34" x14ac:dyDescent="0.2">
      <c r="A104" s="286">
        <v>14</v>
      </c>
      <c r="B104" s="287" t="s">
        <v>15</v>
      </c>
      <c r="C104" s="287" t="s">
        <v>461</v>
      </c>
      <c r="D104" s="288" t="s">
        <v>414</v>
      </c>
      <c r="E104" s="293">
        <f ca="1">IF(D104="","",(VLOOKUP($D104,master_food_list,'Master Food List'!N$91,FALSE)))</f>
        <v>250</v>
      </c>
      <c r="F104" s="293">
        <f ca="1">IF(E104="","",(VLOOKUP($D104,master_food_list,'Master Food List'!O$91,FALSE)))</f>
        <v>33</v>
      </c>
      <c r="G104" s="293">
        <f ca="1">IF(F104="","",(VLOOKUP($D104,master_food_list,'Master Food List'!P$91,FALSE)))</f>
        <v>4</v>
      </c>
      <c r="H104" s="293">
        <f ca="1">IF(G104="","",(VLOOKUP($D104,master_food_list,'Master Food List'!Q$91,FALSE)))</f>
        <v>12</v>
      </c>
      <c r="I104" s="293">
        <f ca="1">IF(H104="","",(VLOOKUP($D104,master_food_list,'Master Food List'!R$91,FALSE)))</f>
        <v>120</v>
      </c>
      <c r="J104" s="293">
        <f ca="1">IF(I104="","",(VLOOKUP($D104,master_food_list,'Master Food List'!S$91,FALSE)))</f>
        <v>0</v>
      </c>
      <c r="K104" s="293">
        <f ca="1">IF(J104="","",(VLOOKUP($D104,master_food_list,'Master Food List'!T$91,FALSE)))</f>
        <v>134.40860215053763</v>
      </c>
    </row>
    <row r="105" spans="1:14" customFormat="1" ht="34" x14ac:dyDescent="0.2">
      <c r="A105" s="286">
        <v>14</v>
      </c>
      <c r="B105" s="287" t="s">
        <v>15</v>
      </c>
      <c r="C105" s="287" t="s">
        <v>460</v>
      </c>
      <c r="D105" s="289"/>
      <c r="E105" s="293" t="str">
        <f>IF(D105="","",(VLOOKUP($D105,master_food_list,'Master Food List'!N$91,FALSE)))</f>
        <v/>
      </c>
      <c r="F105" s="293" t="str">
        <f>IF(E105="","",(VLOOKUP($D105,master_food_list,'Master Food List'!O$91,FALSE)))</f>
        <v/>
      </c>
      <c r="G105" s="293" t="str">
        <f>IF(F105="","",(VLOOKUP($D105,master_food_list,'Master Food List'!P$91,FALSE)))</f>
        <v/>
      </c>
      <c r="H105" s="293" t="str">
        <f>IF(G105="","",(VLOOKUP($D105,master_food_list,'Master Food List'!Q$91,FALSE)))</f>
        <v/>
      </c>
      <c r="I105" s="293" t="str">
        <f>IF(H105="","",(VLOOKUP($D105,master_food_list,'Master Food List'!R$91,FALSE)))</f>
        <v/>
      </c>
      <c r="J105" s="293" t="str">
        <f>IF(I105="","",(VLOOKUP($D105,master_food_list,'Master Food List'!S$91,FALSE)))</f>
        <v/>
      </c>
      <c r="K105" s="293" t="str">
        <f>IF(J105="","",(VLOOKUP($D105,master_food_list,'Master Food List'!T$91,FALSE)))</f>
        <v/>
      </c>
    </row>
    <row r="106" spans="1:14" customFormat="1" ht="34" x14ac:dyDescent="0.2">
      <c r="A106" s="286">
        <v>14</v>
      </c>
      <c r="B106" s="287" t="s">
        <v>15</v>
      </c>
      <c r="C106" s="287" t="s">
        <v>459</v>
      </c>
      <c r="D106" s="288" t="s">
        <v>522</v>
      </c>
      <c r="E106" s="293">
        <f ca="1">IF(D106="","",(VLOOKUP($D106,master_food_list,'Master Food List'!N$91,FALSE)))</f>
        <v>300</v>
      </c>
      <c r="F106" s="293">
        <f ca="1">IF(E106="","",(VLOOKUP($D106,master_food_list,'Master Food List'!O$91,FALSE)))</f>
        <v>26</v>
      </c>
      <c r="G106" s="293">
        <f ca="1">IF(F106="","",(VLOOKUP($D106,master_food_list,'Master Food List'!P$91,FALSE)))</f>
        <v>4</v>
      </c>
      <c r="H106" s="293">
        <f ca="1">IF(G106="","",(VLOOKUP($D106,master_food_list,'Master Food List'!Q$91,FALSE)))</f>
        <v>20</v>
      </c>
      <c r="I106" s="293">
        <f ca="1">IF(H106="","",(VLOOKUP($D106,master_food_list,'Master Food List'!R$91,FALSE)))</f>
        <v>500</v>
      </c>
      <c r="J106" s="293">
        <f ca="1">IF(I106="","",(VLOOKUP($D106,master_food_list,'Master Food List'!S$91,FALSE)))</f>
        <v>0</v>
      </c>
      <c r="K106" s="293">
        <f ca="1">IF(J106="","",(VLOOKUP($D106,master_food_list,'Master Food List'!T$91,FALSE)))</f>
        <v>154.28571428571428</v>
      </c>
    </row>
    <row r="107" spans="1:14" customFormat="1" ht="34" x14ac:dyDescent="0.2">
      <c r="A107" s="286">
        <v>14</v>
      </c>
      <c r="B107" s="287" t="s">
        <v>15</v>
      </c>
      <c r="C107" s="287" t="s">
        <v>458</v>
      </c>
      <c r="D107" s="289" t="s">
        <v>486</v>
      </c>
      <c r="E107" s="293">
        <f ca="1">IF(D107="","",(VLOOKUP($D107,master_food_list,'Master Food List'!N$91,FALSE)))</f>
        <v>960</v>
      </c>
      <c r="F107" s="293">
        <f ca="1">IF(E107="","",(VLOOKUP($D107,master_food_list,'Master Food List'!O$91,FALSE)))</f>
        <v>178</v>
      </c>
      <c r="G107" s="293">
        <f ca="1">IF(F107="","",(VLOOKUP($D107,master_food_list,'Master Food List'!P$91,FALSE)))</f>
        <v>34</v>
      </c>
      <c r="H107" s="293">
        <f ca="1">IF(G107="","",(VLOOKUP($D107,master_food_list,'Master Food List'!Q$91,FALSE)))</f>
        <v>12</v>
      </c>
      <c r="I107" s="293">
        <f ca="1">IF(H107="","",(VLOOKUP($D107,master_food_list,'Master Food List'!R$91,FALSE)))</f>
        <v>1620</v>
      </c>
      <c r="J107" s="293">
        <f ca="1">IF(I107="","",(VLOOKUP($D107,master_food_list,'Master Food List'!S$91,FALSE)))</f>
        <v>0</v>
      </c>
      <c r="K107" s="293">
        <f ca="1">IF(J107="","",(VLOOKUP($D107,master_food_list,'Master Food List'!T$91,FALSE)))</f>
        <v>109.09090909090908</v>
      </c>
    </row>
    <row r="108" spans="1:14" customFormat="1" ht="34" x14ac:dyDescent="0.2">
      <c r="A108" s="286">
        <v>14</v>
      </c>
      <c r="B108" s="287" t="s">
        <v>15</v>
      </c>
      <c r="C108" s="287" t="s">
        <v>457</v>
      </c>
      <c r="D108" s="289" t="s">
        <v>479</v>
      </c>
      <c r="E108" s="293">
        <f ca="1">IF(D108="","",(VLOOKUP($D108,master_food_list,'Master Food List'!N$91,FALSE)))</f>
        <v>300</v>
      </c>
      <c r="F108" s="293">
        <f ca="1">IF(E108="","",(VLOOKUP($D108,master_food_list,'Master Food List'!O$91,FALSE)))</f>
        <v>10.5</v>
      </c>
      <c r="G108" s="293">
        <f ca="1">IF(F108="","",(VLOOKUP($D108,master_food_list,'Master Food List'!P$91,FALSE)))</f>
        <v>10.5</v>
      </c>
      <c r="H108" s="293">
        <f ca="1">IF(G108="","",(VLOOKUP($D108,master_food_list,'Master Food List'!Q$91,FALSE)))</f>
        <v>25.5</v>
      </c>
      <c r="I108" s="293">
        <f ca="1">IF(H108="","",(VLOOKUP($D108,master_food_list,'Master Food List'!R$91,FALSE)))</f>
        <v>150</v>
      </c>
      <c r="J108" s="293">
        <f ca="1">IF(I108="","",(VLOOKUP($D108,master_food_list,'Master Food List'!S$91,FALSE)))</f>
        <v>0</v>
      </c>
      <c r="K108" s="293">
        <f ca="1">IF(J108="","",(VLOOKUP($D108,master_food_list,'Master Food List'!T$91,FALSE)))</f>
        <v>177.77777777777777</v>
      </c>
    </row>
    <row r="109" spans="1:14" customFormat="1" ht="34" x14ac:dyDescent="0.2">
      <c r="A109" s="286">
        <v>14</v>
      </c>
      <c r="B109" s="287" t="s">
        <v>15</v>
      </c>
      <c r="C109" s="287" t="s">
        <v>455</v>
      </c>
      <c r="D109" s="289" t="s">
        <v>313</v>
      </c>
      <c r="E109" s="293">
        <f ca="1">IF(D109="","",(VLOOKUP($D109,master_food_list,'Master Food List'!N$91,FALSE)))</f>
        <v>170</v>
      </c>
      <c r="F109" s="293">
        <f ca="1">IF(E109="","",(VLOOKUP($D109,master_food_list,'Master Food List'!O$91,FALSE)))</f>
        <v>28</v>
      </c>
      <c r="G109" s="293">
        <f ca="1">IF(F109="","",(VLOOKUP($D109,master_food_list,'Master Food List'!P$91,FALSE)))</f>
        <v>2</v>
      </c>
      <c r="H109" s="293">
        <f ca="1">IF(G109="","",(VLOOKUP($D109,master_food_list,'Master Food List'!Q$91,FALSE)))</f>
        <v>6</v>
      </c>
      <c r="I109" s="293">
        <f ca="1">IF(H109="","",(VLOOKUP($D109,master_food_list,'Master Food List'!R$91,FALSE)))</f>
        <v>135</v>
      </c>
      <c r="J109" s="293">
        <f ca="1">IF(I109="","",(VLOOKUP($D109,master_food_list,'Master Food List'!S$91,FALSE)))</f>
        <v>0</v>
      </c>
      <c r="K109" s="293">
        <f ca="1">IF(J109="","",(VLOOKUP($D109,master_food_list,'Master Food List'!T$91,FALSE)))</f>
        <v>150.44247787610621</v>
      </c>
    </row>
    <row r="110" spans="1:14" s="190" customFormat="1" ht="51" x14ac:dyDescent="0.2">
      <c r="A110" s="278">
        <v>15</v>
      </c>
      <c r="B110" s="279" t="s">
        <v>210</v>
      </c>
      <c r="C110" s="279" t="s">
        <v>462</v>
      </c>
      <c r="D110" s="280" t="s">
        <v>498</v>
      </c>
      <c r="E110" s="291">
        <f ca="1">IF(D110="","",(VLOOKUP($D110,master_food_list,'Master Food List'!N$91,FALSE)))</f>
        <v>1020</v>
      </c>
      <c r="F110" s="291">
        <f ca="1">IF(E110="","",(VLOOKUP($D110,master_food_list,'Master Food List'!O$91,FALSE)))</f>
        <v>96</v>
      </c>
      <c r="G110" s="291">
        <f ca="1">IF(F110="","",(VLOOKUP($D110,master_food_list,'Master Food List'!P$91,FALSE)))</f>
        <v>34</v>
      </c>
      <c r="H110" s="291">
        <f ca="1">IF(G110="","",(VLOOKUP($D110,master_food_list,'Master Food List'!Q$91,FALSE)))</f>
        <v>53</v>
      </c>
      <c r="I110" s="291">
        <f ca="1">IF(H110="","",(VLOOKUP($D110,master_food_list,'Master Food List'!R$91,FALSE)))</f>
        <v>2460</v>
      </c>
      <c r="J110" s="291">
        <f ca="1">IF(I110="","",(VLOOKUP($D110,master_food_list,'Master Food List'!S$91,FALSE)))</f>
        <v>0</v>
      </c>
      <c r="K110" s="291">
        <f ca="1">IF(J110="","",(VLOOKUP($D110,master_food_list,'Master Food List'!T$91,FALSE)))</f>
        <v>0</v>
      </c>
      <c r="M110"/>
      <c r="N110"/>
    </row>
    <row r="111" spans="1:14" s="190" customFormat="1" ht="51" x14ac:dyDescent="0.2">
      <c r="A111" s="278">
        <v>15</v>
      </c>
      <c r="B111" s="279" t="s">
        <v>210</v>
      </c>
      <c r="C111" s="279" t="s">
        <v>461</v>
      </c>
      <c r="D111" s="280" t="s">
        <v>327</v>
      </c>
      <c r="E111" s="291">
        <f ca="1">IF(D111="","",(VLOOKUP($D111,master_food_list,'Master Food List'!N$91,FALSE)))</f>
        <v>130</v>
      </c>
      <c r="F111" s="291">
        <f ca="1">IF(E111="","",(VLOOKUP($D111,master_food_list,'Master Food List'!O$91,FALSE)))</f>
        <v>8</v>
      </c>
      <c r="G111" s="291">
        <f ca="1">IF(F111="","",(VLOOKUP($D111,master_food_list,'Master Food List'!P$91,FALSE)))</f>
        <v>7</v>
      </c>
      <c r="H111" s="291">
        <f ca="1">IF(G111="","",(VLOOKUP($D111,master_food_list,'Master Food List'!Q$91,FALSE)))</f>
        <v>8</v>
      </c>
      <c r="I111" s="291">
        <f ca="1">IF(H111="","",(VLOOKUP($D111,master_food_list,'Master Food List'!R$91,FALSE)))</f>
        <v>320</v>
      </c>
      <c r="J111" s="291">
        <f ca="1">IF(I111="","",(VLOOKUP($D111,master_food_list,'Master Food List'!S$91,FALSE)))</f>
        <v>0</v>
      </c>
      <c r="K111" s="291">
        <f ca="1">IF(J111="","",(VLOOKUP($D111,master_food_list,'Master Food List'!T$91,FALSE)))</f>
        <v>99.999999999999986</v>
      </c>
      <c r="M111"/>
      <c r="N111"/>
    </row>
    <row r="112" spans="1:14" s="190" customFormat="1" ht="51" x14ac:dyDescent="0.2">
      <c r="A112" s="278">
        <v>15</v>
      </c>
      <c r="B112" s="279" t="s">
        <v>210</v>
      </c>
      <c r="C112" s="279" t="s">
        <v>460</v>
      </c>
      <c r="D112" s="281" t="s">
        <v>495</v>
      </c>
      <c r="E112" s="291">
        <f ca="1">IF(D112="","",(VLOOKUP($D112,master_food_list,'Master Food List'!N$91,FALSE)))</f>
        <v>122</v>
      </c>
      <c r="F112" s="291">
        <f ca="1">IF(E112="","",(VLOOKUP($D112,master_food_list,'Master Food List'!O$91,FALSE)))</f>
        <v>18</v>
      </c>
      <c r="G112" s="291">
        <f ca="1">IF(F112="","",(VLOOKUP($D112,master_food_list,'Master Food List'!P$91,FALSE)))</f>
        <v>9</v>
      </c>
      <c r="H112" s="291">
        <f ca="1">IF(G112="","",(VLOOKUP($D112,master_food_list,'Master Food List'!Q$91,FALSE)))</f>
        <v>7.5</v>
      </c>
      <c r="I112" s="291">
        <f ca="1">IF(H112="","",(VLOOKUP($D112,master_food_list,'Master Food List'!R$91,FALSE)))</f>
        <v>105</v>
      </c>
      <c r="J112" s="291">
        <f ca="1">IF(I112="","",(VLOOKUP($D112,master_food_list,'Master Food List'!S$91,FALSE)))</f>
        <v>0</v>
      </c>
      <c r="K112" s="291">
        <f ca="1">IF(J112="","",(VLOOKUP($D112,master_food_list,'Master Food List'!T$91,FALSE)))</f>
        <v>0</v>
      </c>
      <c r="M112"/>
      <c r="N112"/>
    </row>
    <row r="113" spans="1:14" s="190" customFormat="1" ht="51" x14ac:dyDescent="0.2">
      <c r="A113" s="278">
        <v>15</v>
      </c>
      <c r="B113" s="279" t="s">
        <v>210</v>
      </c>
      <c r="C113" s="279" t="s">
        <v>459</v>
      </c>
      <c r="D113" s="280" t="s">
        <v>522</v>
      </c>
      <c r="E113" s="291">
        <f ca="1">IF(D113="","",(VLOOKUP($D113,master_food_list,'Master Food List'!N$91,FALSE)))</f>
        <v>300</v>
      </c>
      <c r="F113" s="291">
        <f ca="1">IF(E113="","",(VLOOKUP($D113,master_food_list,'Master Food List'!O$91,FALSE)))</f>
        <v>26</v>
      </c>
      <c r="G113" s="291">
        <f ca="1">IF(F113="","",(VLOOKUP($D113,master_food_list,'Master Food List'!P$91,FALSE)))</f>
        <v>4</v>
      </c>
      <c r="H113" s="291">
        <f ca="1">IF(G113="","",(VLOOKUP($D113,master_food_list,'Master Food List'!Q$91,FALSE)))</f>
        <v>20</v>
      </c>
      <c r="I113" s="291">
        <f ca="1">IF(H113="","",(VLOOKUP($D113,master_food_list,'Master Food List'!R$91,FALSE)))</f>
        <v>500</v>
      </c>
      <c r="J113" s="291">
        <f ca="1">IF(I113="","",(VLOOKUP($D113,master_food_list,'Master Food List'!S$91,FALSE)))</f>
        <v>0</v>
      </c>
      <c r="K113" s="291">
        <f ca="1">IF(J113="","",(VLOOKUP($D113,master_food_list,'Master Food List'!T$91,FALSE)))</f>
        <v>154.28571428571428</v>
      </c>
      <c r="M113"/>
      <c r="N113"/>
    </row>
    <row r="114" spans="1:14" s="190" customFormat="1" ht="51" x14ac:dyDescent="0.2">
      <c r="A114" s="278">
        <v>15</v>
      </c>
      <c r="B114" s="279" t="s">
        <v>210</v>
      </c>
      <c r="C114" s="279" t="s">
        <v>458</v>
      </c>
      <c r="D114" s="281" t="s">
        <v>519</v>
      </c>
      <c r="E114" s="291">
        <f ca="1">IF(D114="","",(VLOOKUP($D114,master_food_list,'Master Food List'!N$91,FALSE)))</f>
        <v>380</v>
      </c>
      <c r="F114" s="291">
        <f ca="1">IF(E114="","",(VLOOKUP($D114,master_food_list,'Master Food List'!O$91,FALSE)))</f>
        <v>66</v>
      </c>
      <c r="G114" s="291">
        <f ca="1">IF(F114="","",(VLOOKUP($D114,master_food_list,'Master Food List'!P$91,FALSE)))</f>
        <v>8</v>
      </c>
      <c r="H114" s="291">
        <f ca="1">IF(G114="","",(VLOOKUP($D114,master_food_list,'Master Food List'!Q$91,FALSE)))</f>
        <v>10</v>
      </c>
      <c r="I114" s="291">
        <f ca="1">IF(H114="","",(VLOOKUP($D114,master_food_list,'Master Food List'!R$91,FALSE)))</f>
        <v>500</v>
      </c>
      <c r="J114" s="291">
        <f ca="1">IF(I114="","",(VLOOKUP($D114,master_food_list,'Master Food List'!S$91,FALSE)))</f>
        <v>0</v>
      </c>
      <c r="K114" s="291">
        <f ca="1">IF(J114="","",(VLOOKUP($D114,master_food_list,'Master Food List'!T$91,FALSE)))</f>
        <v>118.75</v>
      </c>
      <c r="M114"/>
      <c r="N114"/>
    </row>
    <row r="115" spans="1:14" s="190" customFormat="1" ht="51" x14ac:dyDescent="0.2">
      <c r="A115" s="278">
        <v>15</v>
      </c>
      <c r="B115" s="279" t="s">
        <v>210</v>
      </c>
      <c r="C115" s="279" t="s">
        <v>457</v>
      </c>
      <c r="D115" s="281"/>
      <c r="E115" s="291" t="str">
        <f>IF(D115="","",(VLOOKUP($D115,master_food_list,'Master Food List'!N$91,FALSE)))</f>
        <v/>
      </c>
      <c r="F115" s="291" t="str">
        <f>IF(E115="","",(VLOOKUP($D115,master_food_list,'Master Food List'!O$91,FALSE)))</f>
        <v/>
      </c>
      <c r="G115" s="291" t="str">
        <f>IF(F115="","",(VLOOKUP($D115,master_food_list,'Master Food List'!P$91,FALSE)))</f>
        <v/>
      </c>
      <c r="H115" s="291" t="str">
        <f>IF(G115="","",(VLOOKUP($D115,master_food_list,'Master Food List'!Q$91,FALSE)))</f>
        <v/>
      </c>
      <c r="I115" s="291" t="str">
        <f>IF(H115="","",(VLOOKUP($D115,master_food_list,'Master Food List'!R$91,FALSE)))</f>
        <v/>
      </c>
      <c r="J115" s="291" t="str">
        <f>IF(I115="","",(VLOOKUP($D115,master_food_list,'Master Food List'!S$91,FALSE)))</f>
        <v/>
      </c>
      <c r="K115" s="291" t="str">
        <f>IF(J115="","",(VLOOKUP($D115,master_food_list,'Master Food List'!T$91,FALSE)))</f>
        <v/>
      </c>
      <c r="M115"/>
      <c r="N115"/>
    </row>
    <row r="116" spans="1:14" s="190" customFormat="1" ht="51" x14ac:dyDescent="0.2">
      <c r="A116" s="278">
        <v>15</v>
      </c>
      <c r="B116" s="279" t="s">
        <v>210</v>
      </c>
      <c r="C116" s="279" t="s">
        <v>455</v>
      </c>
      <c r="D116" s="281" t="s">
        <v>483</v>
      </c>
      <c r="E116" s="291">
        <f ca="1">IF(D116="","",(VLOOKUP($D116,master_food_list,'Master Food List'!N$91,FALSE)))</f>
        <v>200</v>
      </c>
      <c r="F116" s="291">
        <f ca="1">IF(E116="","",(VLOOKUP($D116,master_food_list,'Master Food List'!O$91,FALSE)))</f>
        <v>31</v>
      </c>
      <c r="G116" s="291">
        <f ca="1">IF(F116="","",(VLOOKUP($D116,master_food_list,'Master Food List'!P$91,FALSE)))</f>
        <v>2</v>
      </c>
      <c r="H116" s="291">
        <f ca="1">IF(G116="","",(VLOOKUP($D116,master_food_list,'Master Food List'!Q$91,FALSE)))</f>
        <v>8</v>
      </c>
      <c r="I116" s="291">
        <f ca="1">IF(H116="","",(VLOOKUP($D116,master_food_list,'Master Food List'!R$91,FALSE)))</f>
        <v>30</v>
      </c>
      <c r="J116" s="291">
        <f ca="1">IF(I116="","",(VLOOKUP($D116,master_food_list,'Master Food List'!S$91,FALSE)))</f>
        <v>0</v>
      </c>
      <c r="K116" s="291">
        <f ca="1">IF(J116="","",(VLOOKUP($D116,master_food_list,'Master Food List'!T$91,FALSE)))</f>
        <v>133.33333333333334</v>
      </c>
      <c r="M116"/>
      <c r="N116"/>
    </row>
    <row r="117" spans="1:14" s="190" customFormat="1" ht="51" x14ac:dyDescent="0.2">
      <c r="A117" s="278">
        <v>16</v>
      </c>
      <c r="B117" s="279" t="s">
        <v>210</v>
      </c>
      <c r="C117" s="279" t="s">
        <v>462</v>
      </c>
      <c r="D117" s="280" t="s">
        <v>481</v>
      </c>
      <c r="E117" s="291">
        <f ca="1">IF(D117="","",(VLOOKUP($D117,master_food_list,'Master Food List'!N$91,FALSE)))</f>
        <v>400</v>
      </c>
      <c r="F117" s="291">
        <f ca="1">IF(E117="","",(VLOOKUP($D117,master_food_list,'Master Food List'!O$91,FALSE)))</f>
        <v>72</v>
      </c>
      <c r="G117" s="291">
        <f ca="1">IF(F117="","",(VLOOKUP($D117,master_food_list,'Master Food List'!P$91,FALSE)))</f>
        <v>6</v>
      </c>
      <c r="H117" s="291">
        <f ca="1">IF(G117="","",(VLOOKUP($D117,master_food_list,'Master Food List'!Q$91,FALSE)))</f>
        <v>10</v>
      </c>
      <c r="I117" s="291">
        <f ca="1">IF(H117="","",(VLOOKUP($D117,master_food_list,'Master Food List'!R$91,FALSE)))</f>
        <v>420</v>
      </c>
      <c r="J117" s="291">
        <f ca="1">IF(I117="","",(VLOOKUP($D117,master_food_list,'Master Food List'!S$91,FALSE)))</f>
        <v>0</v>
      </c>
      <c r="K117" s="291">
        <f ca="1">IF(J117="","",(VLOOKUP($D117,master_food_list,'Master Food List'!T$91,FALSE)))</f>
        <v>109.09090909090909</v>
      </c>
      <c r="M117"/>
      <c r="N117"/>
    </row>
    <row r="118" spans="1:14" s="190" customFormat="1" ht="51" x14ac:dyDescent="0.2">
      <c r="A118" s="278">
        <v>16</v>
      </c>
      <c r="B118" s="279" t="s">
        <v>210</v>
      </c>
      <c r="C118" s="279" t="s">
        <v>461</v>
      </c>
      <c r="D118" s="280" t="s">
        <v>325</v>
      </c>
      <c r="E118" s="291">
        <f ca="1">IF(D118="","",(VLOOKUP($D118,master_food_list,'Master Food List'!N$91,FALSE)))</f>
        <v>130</v>
      </c>
      <c r="F118" s="291">
        <f ca="1">IF(E118="","",(VLOOKUP($D118,master_food_list,'Master Food List'!O$91,FALSE)))</f>
        <v>12</v>
      </c>
      <c r="G118" s="291">
        <f ca="1">IF(F118="","",(VLOOKUP($D118,master_food_list,'Master Food List'!P$91,FALSE)))</f>
        <v>8</v>
      </c>
      <c r="H118" s="291">
        <f ca="1">IF(G118="","",(VLOOKUP($D118,master_food_list,'Master Food List'!Q$91,FALSE)))</f>
        <v>6</v>
      </c>
      <c r="I118" s="291">
        <f ca="1">IF(H118="","",(VLOOKUP($D118,master_food_list,'Master Food List'!R$91,FALSE)))</f>
        <v>290</v>
      </c>
      <c r="J118" s="291">
        <f ca="1">IF(I118="","",(VLOOKUP($D118,master_food_list,'Master Food List'!S$91,FALSE)))</f>
        <v>0</v>
      </c>
      <c r="K118" s="291">
        <f ca="1">IF(J118="","",(VLOOKUP($D118,master_food_list,'Master Food List'!T$91,FALSE)))</f>
        <v>99.999999999999986</v>
      </c>
      <c r="M118"/>
      <c r="N118"/>
    </row>
    <row r="119" spans="1:14" s="190" customFormat="1" ht="51" x14ac:dyDescent="0.2">
      <c r="A119" s="278">
        <v>16</v>
      </c>
      <c r="B119" s="279" t="s">
        <v>210</v>
      </c>
      <c r="C119" s="279" t="s">
        <v>460</v>
      </c>
      <c r="D119" s="281" t="s">
        <v>495</v>
      </c>
      <c r="E119" s="291">
        <f ca="1">IF(D119="","",(VLOOKUP($D119,master_food_list,'Master Food List'!N$91,FALSE)))</f>
        <v>122</v>
      </c>
      <c r="F119" s="291">
        <f ca="1">IF(E119="","",(VLOOKUP($D119,master_food_list,'Master Food List'!O$91,FALSE)))</f>
        <v>18</v>
      </c>
      <c r="G119" s="291">
        <f ca="1">IF(F119="","",(VLOOKUP($D119,master_food_list,'Master Food List'!P$91,FALSE)))</f>
        <v>9</v>
      </c>
      <c r="H119" s="291">
        <f ca="1">IF(G119="","",(VLOOKUP($D119,master_food_list,'Master Food List'!Q$91,FALSE)))</f>
        <v>7.5</v>
      </c>
      <c r="I119" s="291">
        <f ca="1">IF(H119="","",(VLOOKUP($D119,master_food_list,'Master Food List'!R$91,FALSE)))</f>
        <v>105</v>
      </c>
      <c r="J119" s="291">
        <f ca="1">IF(I119="","",(VLOOKUP($D119,master_food_list,'Master Food List'!S$91,FALSE)))</f>
        <v>0</v>
      </c>
      <c r="K119" s="291">
        <f ca="1">IF(J119="","",(VLOOKUP($D119,master_food_list,'Master Food List'!T$91,FALSE)))</f>
        <v>0</v>
      </c>
      <c r="M119"/>
      <c r="N119"/>
    </row>
    <row r="120" spans="1:14" s="190" customFormat="1" ht="51" x14ac:dyDescent="0.2">
      <c r="A120" s="278">
        <v>16</v>
      </c>
      <c r="B120" s="279" t="s">
        <v>210</v>
      </c>
      <c r="C120" s="279" t="s">
        <v>459</v>
      </c>
      <c r="D120" s="280" t="s">
        <v>487</v>
      </c>
      <c r="E120" s="291">
        <f ca="1">IF(D120="","",(VLOOKUP($D120,master_food_list,'Master Food List'!N$91,FALSE)))</f>
        <v>225</v>
      </c>
      <c r="F120" s="291">
        <f ca="1">IF(E120="","",(VLOOKUP($D120,master_food_list,'Master Food List'!O$91,FALSE)))</f>
        <v>30</v>
      </c>
      <c r="G120" s="291">
        <f ca="1">IF(F120="","",(VLOOKUP($D120,master_food_list,'Master Food List'!P$91,FALSE)))</f>
        <v>20</v>
      </c>
      <c r="H120" s="291">
        <f ca="1">IF(G120="","",(VLOOKUP($D120,master_food_list,'Master Food List'!Q$91,FALSE)))</f>
        <v>3.75</v>
      </c>
      <c r="I120" s="291">
        <f ca="1">IF(H120="","",(VLOOKUP($D120,master_food_list,'Master Food List'!R$91,FALSE)))</f>
        <v>950</v>
      </c>
      <c r="J120" s="291">
        <f ca="1">IF(I120="","",(VLOOKUP($D120,master_food_list,'Master Food List'!S$91,FALSE)))</f>
        <v>0</v>
      </c>
      <c r="K120" s="291">
        <f ca="1">IF(J120="","",(VLOOKUP($D120,master_food_list,'Master Food List'!T$91,FALSE)))</f>
        <v>83.333333333333329</v>
      </c>
      <c r="M120"/>
      <c r="N120"/>
    </row>
    <row r="121" spans="1:14" s="190" customFormat="1" ht="51" x14ac:dyDescent="0.2">
      <c r="A121" s="278">
        <v>16</v>
      </c>
      <c r="B121" s="279" t="s">
        <v>210</v>
      </c>
      <c r="C121" s="279" t="s">
        <v>458</v>
      </c>
      <c r="D121" s="281" t="s">
        <v>294</v>
      </c>
      <c r="E121" s="291">
        <f ca="1">IF(D121="","",(VLOOKUP($D121,master_food_list,'Master Food List'!N$91,FALSE)))</f>
        <v>960</v>
      </c>
      <c r="F121" s="291">
        <f ca="1">IF(E121="","",(VLOOKUP($D121,master_food_list,'Master Food List'!O$91,FALSE)))</f>
        <v>93</v>
      </c>
      <c r="G121" s="291">
        <f ca="1">IF(F121="","",(VLOOKUP($D121,master_food_list,'Master Food List'!P$91,FALSE)))</f>
        <v>39</v>
      </c>
      <c r="H121" s="291">
        <f ca="1">IF(G121="","",(VLOOKUP($D121,master_food_list,'Master Food List'!Q$91,FALSE)))</f>
        <v>45</v>
      </c>
      <c r="I121" s="291">
        <f ca="1">IF(H121="","",(VLOOKUP($D121,master_food_list,'Master Food List'!R$91,FALSE)))</f>
        <v>2040</v>
      </c>
      <c r="J121" s="291">
        <f ca="1">IF(I121="","",(VLOOKUP($D121,master_food_list,'Master Food List'!S$91,FALSE)))</f>
        <v>0</v>
      </c>
      <c r="K121" s="291">
        <f ca="1">IF(J121="","",(VLOOKUP($D121,master_food_list,'Master Food List'!T$91,FALSE)))</f>
        <v>141.03819784524975</v>
      </c>
      <c r="M121"/>
      <c r="N121"/>
    </row>
    <row r="122" spans="1:14" s="190" customFormat="1" ht="51" x14ac:dyDescent="0.2">
      <c r="A122" s="278">
        <v>16</v>
      </c>
      <c r="B122" s="279" t="s">
        <v>210</v>
      </c>
      <c r="C122" s="279" t="s">
        <v>457</v>
      </c>
      <c r="D122" s="281"/>
      <c r="E122" s="291" t="str">
        <f>IF(D122="","",(VLOOKUP($D122,master_food_list,'Master Food List'!N$91,FALSE)))</f>
        <v/>
      </c>
      <c r="F122" s="291" t="str">
        <f>IF(E122="","",(VLOOKUP($D122,master_food_list,'Master Food List'!O$91,FALSE)))</f>
        <v/>
      </c>
      <c r="G122" s="291" t="str">
        <f>IF(F122="","",(VLOOKUP($D122,master_food_list,'Master Food List'!P$91,FALSE)))</f>
        <v/>
      </c>
      <c r="H122" s="291" t="str">
        <f>IF(G122="","",(VLOOKUP($D122,master_food_list,'Master Food List'!Q$91,FALSE)))</f>
        <v/>
      </c>
      <c r="I122" s="291" t="str">
        <f>IF(H122="","",(VLOOKUP($D122,master_food_list,'Master Food List'!R$91,FALSE)))</f>
        <v/>
      </c>
      <c r="J122" s="291" t="str">
        <f>IF(I122="","",(VLOOKUP($D122,master_food_list,'Master Food List'!S$91,FALSE)))</f>
        <v/>
      </c>
      <c r="K122" s="291" t="str">
        <f>IF(J122="","",(VLOOKUP($D122,master_food_list,'Master Food List'!T$91,FALSE)))</f>
        <v/>
      </c>
      <c r="M122"/>
      <c r="N122"/>
    </row>
    <row r="123" spans="1:14" s="190" customFormat="1" ht="51" x14ac:dyDescent="0.2">
      <c r="A123" s="278">
        <v>16</v>
      </c>
      <c r="B123" s="279" t="s">
        <v>210</v>
      </c>
      <c r="C123" s="279" t="s">
        <v>455</v>
      </c>
      <c r="D123" s="281" t="s">
        <v>482</v>
      </c>
      <c r="E123" s="291">
        <f ca="1">IF(D123="","",(VLOOKUP($D123,master_food_list,'Master Food List'!N$91,FALSE)))</f>
        <v>110</v>
      </c>
      <c r="F123" s="291">
        <f ca="1">IF(E123="","",(VLOOKUP($D123,master_food_list,'Master Food List'!O$91,FALSE)))</f>
        <v>21</v>
      </c>
      <c r="G123" s="291">
        <f ca="1">IF(F123="","",(VLOOKUP($D123,master_food_list,'Master Food List'!P$91,FALSE)))</f>
        <v>1</v>
      </c>
      <c r="H123" s="291">
        <f ca="1">IF(G123="","",(VLOOKUP($D123,master_food_list,'Master Food List'!Q$91,FALSE)))</f>
        <v>2</v>
      </c>
      <c r="I123" s="291">
        <f ca="1">IF(H123="","",(VLOOKUP($D123,master_food_list,'Master Food List'!R$91,FALSE)))</f>
        <v>150</v>
      </c>
      <c r="J123" s="291">
        <f ca="1">IF(I123="","",(VLOOKUP($D123,master_food_list,'Master Food List'!S$91,FALSE)))</f>
        <v>0</v>
      </c>
      <c r="K123" s="291">
        <f ca="1">IF(J123="","",(VLOOKUP($D123,master_food_list,'Master Food List'!T$91,FALSE)))</f>
        <v>118.27956989247312</v>
      </c>
      <c r="M123"/>
      <c r="N123"/>
    </row>
    <row r="124" spans="1:14" s="189" customFormat="1" ht="51" x14ac:dyDescent="0.2">
      <c r="A124" s="282">
        <v>17</v>
      </c>
      <c r="B124" s="283" t="s">
        <v>210</v>
      </c>
      <c r="C124" s="283" t="s">
        <v>462</v>
      </c>
      <c r="D124" s="284" t="s">
        <v>480</v>
      </c>
      <c r="E124" s="292">
        <f ca="1">IF(D124="","",(VLOOKUP($D124,master_food_list,'Master Food List'!N$91,FALSE)))</f>
        <v>620</v>
      </c>
      <c r="F124" s="292">
        <f ca="1">IF(E124="","",(VLOOKUP($D124,master_food_list,'Master Food List'!O$91,FALSE)))</f>
        <v>74</v>
      </c>
      <c r="G124" s="292">
        <f ca="1">IF(F124="","",(VLOOKUP($D124,master_food_list,'Master Food List'!P$91,FALSE)))</f>
        <v>16</v>
      </c>
      <c r="H124" s="292">
        <f ca="1">IF(G124="","",(VLOOKUP($D124,master_food_list,'Master Food List'!Q$91,FALSE)))</f>
        <v>31</v>
      </c>
      <c r="I124" s="292">
        <f ca="1">IF(H124="","",(VLOOKUP($D124,master_food_list,'Master Food List'!R$91,FALSE)))</f>
        <v>280</v>
      </c>
      <c r="J124" s="292">
        <f ca="1">IF(I124="","",(VLOOKUP($D124,master_food_list,'Master Food List'!S$91,FALSE)))</f>
        <v>0</v>
      </c>
      <c r="K124" s="292">
        <f ca="1">IF(J124="","",(VLOOKUP($D124,master_food_list,'Master Food List'!T$91,FALSE)))</f>
        <v>130.52631578947367</v>
      </c>
      <c r="M124"/>
      <c r="N124"/>
    </row>
    <row r="125" spans="1:14" s="189" customFormat="1" ht="51" x14ac:dyDescent="0.2">
      <c r="A125" s="282">
        <v>17</v>
      </c>
      <c r="B125" s="283" t="s">
        <v>210</v>
      </c>
      <c r="C125" s="283" t="s">
        <v>461</v>
      </c>
      <c r="D125" s="284" t="s">
        <v>430</v>
      </c>
      <c r="E125" s="292">
        <f ca="1">IF(D125="","",(VLOOKUP($D125,master_food_list,'Master Food List'!N$91,FALSE)))</f>
        <v>510</v>
      </c>
      <c r="F125" s="292">
        <f ca="1">IF(E125="","",(VLOOKUP($D125,master_food_list,'Master Food List'!O$91,FALSE)))</f>
        <v>42</v>
      </c>
      <c r="G125" s="292">
        <f ca="1">IF(F125="","",(VLOOKUP($D125,master_food_list,'Master Food List'!P$91,FALSE)))</f>
        <v>10.5</v>
      </c>
      <c r="H125" s="292">
        <f ca="1">IF(G125="","",(VLOOKUP($D125,master_food_list,'Master Food List'!Q$91,FALSE)))</f>
        <v>33</v>
      </c>
      <c r="I125" s="292">
        <f ca="1">IF(H125="","",(VLOOKUP($D125,master_food_list,'Master Food List'!R$91,FALSE)))</f>
        <v>75</v>
      </c>
      <c r="J125" s="292">
        <f ca="1">IF(I125="","",(VLOOKUP($D125,master_food_list,'Master Food List'!S$91,FALSE)))</f>
        <v>0</v>
      </c>
      <c r="K125" s="292">
        <f ca="1">IF(J125="","",(VLOOKUP($D125,master_food_list,'Master Food List'!T$91,FALSE)))</f>
        <v>170</v>
      </c>
      <c r="M125"/>
      <c r="N125"/>
    </row>
    <row r="126" spans="1:14" s="189" customFormat="1" ht="51" x14ac:dyDescent="0.2">
      <c r="A126" s="282">
        <v>17</v>
      </c>
      <c r="B126" s="283" t="s">
        <v>210</v>
      </c>
      <c r="C126" s="283" t="s">
        <v>460</v>
      </c>
      <c r="D126" s="285"/>
      <c r="E126" s="292" t="str">
        <f>IF(D126="","",(VLOOKUP($D126,master_food_list,'Master Food List'!N$91,FALSE)))</f>
        <v/>
      </c>
      <c r="F126" s="292" t="str">
        <f>IF(E126="","",(VLOOKUP($D126,master_food_list,'Master Food List'!O$91,FALSE)))</f>
        <v/>
      </c>
      <c r="G126" s="292" t="str">
        <f>IF(F126="","",(VLOOKUP($D126,master_food_list,'Master Food List'!P$91,FALSE)))</f>
        <v/>
      </c>
      <c r="H126" s="292" t="str">
        <f>IF(G126="","",(VLOOKUP($D126,master_food_list,'Master Food List'!Q$91,FALSE)))</f>
        <v/>
      </c>
      <c r="I126" s="292" t="str">
        <f>IF(H126="","",(VLOOKUP($D126,master_food_list,'Master Food List'!R$91,FALSE)))</f>
        <v/>
      </c>
      <c r="J126" s="292" t="str">
        <f>IF(I126="","",(VLOOKUP($D126,master_food_list,'Master Food List'!S$91,FALSE)))</f>
        <v/>
      </c>
      <c r="K126" s="292" t="str">
        <f>IF(J126="","",(VLOOKUP($D126,master_food_list,'Master Food List'!T$91,FALSE)))</f>
        <v/>
      </c>
      <c r="M126"/>
      <c r="N126"/>
    </row>
    <row r="127" spans="1:14" s="189" customFormat="1" ht="51" x14ac:dyDescent="0.2">
      <c r="A127" s="282">
        <v>17</v>
      </c>
      <c r="B127" s="283" t="s">
        <v>210</v>
      </c>
      <c r="C127" s="283" t="s">
        <v>459</v>
      </c>
      <c r="D127" s="284" t="s">
        <v>433</v>
      </c>
      <c r="E127" s="292">
        <f ca="1">IF(D127="","",(VLOOKUP($D127,master_food_list,'Master Food List'!N$91,FALSE)))</f>
        <v>280</v>
      </c>
      <c r="F127" s="292">
        <f ca="1">IF(E127="","",(VLOOKUP($D127,master_food_list,'Master Food List'!O$91,FALSE)))</f>
        <v>34</v>
      </c>
      <c r="G127" s="292">
        <f ca="1">IF(F127="","",(VLOOKUP($D127,master_food_list,'Master Food List'!P$91,FALSE)))</f>
        <v>2</v>
      </c>
      <c r="H127" s="292">
        <f ca="1">IF(G127="","",(VLOOKUP($D127,master_food_list,'Master Food List'!Q$91,FALSE)))</f>
        <v>17</v>
      </c>
      <c r="I127" s="292">
        <f ca="1">IF(H127="","",(VLOOKUP($D127,master_food_list,'Master Food List'!R$91,FALSE)))</f>
        <v>0</v>
      </c>
      <c r="J127" s="292">
        <f ca="1">IF(I127="","",(VLOOKUP($D127,master_food_list,'Master Food List'!S$91,FALSE)))</f>
        <v>0</v>
      </c>
      <c r="K127" s="292">
        <f ca="1">IF(J127="","",(VLOOKUP($D127,master_food_list,'Master Food List'!T$91,FALSE)))</f>
        <v>140</v>
      </c>
      <c r="M127"/>
      <c r="N127"/>
    </row>
    <row r="128" spans="1:14" s="189" customFormat="1" ht="51" x14ac:dyDescent="0.2">
      <c r="A128" s="282">
        <v>17</v>
      </c>
      <c r="B128" s="283" t="s">
        <v>210</v>
      </c>
      <c r="C128" s="283" t="s">
        <v>458</v>
      </c>
      <c r="D128" s="285" t="s">
        <v>503</v>
      </c>
      <c r="E128" s="292">
        <f ca="1">IF(D128="","",(VLOOKUP($D128,master_food_list,'Master Food List'!N$91,FALSE)))</f>
        <v>880</v>
      </c>
      <c r="F128" s="292">
        <f ca="1">IF(E128="","",(VLOOKUP($D128,master_food_list,'Master Food List'!O$91,FALSE)))</f>
        <v>122</v>
      </c>
      <c r="G128" s="292">
        <f ca="1">IF(F128="","",(VLOOKUP($D128,master_food_list,'Master Food List'!P$91,FALSE)))</f>
        <v>36</v>
      </c>
      <c r="H128" s="292">
        <f ca="1">IF(G128="","",(VLOOKUP($D128,master_food_list,'Master Food List'!Q$91,FALSE)))</f>
        <v>36</v>
      </c>
      <c r="I128" s="292">
        <f ca="1">IF(H128="","",(VLOOKUP($D128,master_food_list,'Master Food List'!R$91,FALSE)))</f>
        <v>920</v>
      </c>
      <c r="J128" s="292">
        <f ca="1">IF(I128="","",(VLOOKUP($D128,master_food_list,'Master Food List'!S$91,FALSE)))</f>
        <v>0</v>
      </c>
      <c r="K128" s="292">
        <f ca="1">IF(J128="","",(VLOOKUP($D128,master_food_list,'Master Food List'!T$91,FALSE)))</f>
        <v>110</v>
      </c>
      <c r="M128"/>
      <c r="N128"/>
    </row>
    <row r="129" spans="1:14" s="189" customFormat="1" ht="51" x14ac:dyDescent="0.2">
      <c r="A129" s="282">
        <v>17</v>
      </c>
      <c r="B129" s="283" t="s">
        <v>210</v>
      </c>
      <c r="C129" s="283" t="s">
        <v>457</v>
      </c>
      <c r="D129" s="285" t="s">
        <v>479</v>
      </c>
      <c r="E129" s="292">
        <f ca="1">IF(D129="","",(VLOOKUP($D129,master_food_list,'Master Food List'!N$91,FALSE)))</f>
        <v>300</v>
      </c>
      <c r="F129" s="292">
        <f ca="1">IF(E129="","",(VLOOKUP($D129,master_food_list,'Master Food List'!O$91,FALSE)))</f>
        <v>10.5</v>
      </c>
      <c r="G129" s="292">
        <f ca="1">IF(F129="","",(VLOOKUP($D129,master_food_list,'Master Food List'!P$91,FALSE)))</f>
        <v>10.5</v>
      </c>
      <c r="H129" s="292">
        <f ca="1">IF(G129="","",(VLOOKUP($D129,master_food_list,'Master Food List'!Q$91,FALSE)))</f>
        <v>25.5</v>
      </c>
      <c r="I129" s="292">
        <f ca="1">IF(H129="","",(VLOOKUP($D129,master_food_list,'Master Food List'!R$91,FALSE)))</f>
        <v>150</v>
      </c>
      <c r="J129" s="292">
        <f ca="1">IF(I129="","",(VLOOKUP($D129,master_food_list,'Master Food List'!S$91,FALSE)))</f>
        <v>0</v>
      </c>
      <c r="K129" s="292">
        <f ca="1">IF(J129="","",(VLOOKUP($D129,master_food_list,'Master Food List'!T$91,FALSE)))</f>
        <v>177.77777777777777</v>
      </c>
      <c r="M129"/>
      <c r="N129"/>
    </row>
    <row r="130" spans="1:14" s="189" customFormat="1" ht="51" x14ac:dyDescent="0.2">
      <c r="A130" s="282">
        <v>17</v>
      </c>
      <c r="B130" s="283" t="s">
        <v>210</v>
      </c>
      <c r="C130" s="283" t="s">
        <v>455</v>
      </c>
      <c r="D130" s="285" t="s">
        <v>484</v>
      </c>
      <c r="E130" s="292">
        <f ca="1">IF(D130="","",(VLOOKUP($D130,master_food_list,'Master Food List'!N$91,FALSE)))</f>
        <v>540</v>
      </c>
      <c r="F130" s="292">
        <f ca="1">IF(E130="","",(VLOOKUP($D130,master_food_list,'Master Food List'!O$91,FALSE)))</f>
        <v>72</v>
      </c>
      <c r="G130" s="292">
        <f ca="1">IF(F130="","",(VLOOKUP($D130,master_food_list,'Master Food List'!P$91,FALSE)))</f>
        <v>14</v>
      </c>
      <c r="H130" s="292">
        <f ca="1">IF(G130="","",(VLOOKUP($D130,master_food_list,'Master Food List'!Q$91,FALSE)))</f>
        <v>22</v>
      </c>
      <c r="I130" s="292">
        <f ca="1">IF(H130="","",(VLOOKUP($D130,master_food_list,'Master Food List'!R$91,FALSE)))</f>
        <v>780</v>
      </c>
      <c r="J130" s="292">
        <f ca="1">IF(I130="","",(VLOOKUP($D130,master_food_list,'Master Food List'!S$91,FALSE)))</f>
        <v>0</v>
      </c>
      <c r="K130" s="292">
        <f ca="1">IF(J130="","",(VLOOKUP($D130,master_food_list,'Master Food List'!T$91,FALSE)))</f>
        <v>117.39130434782609</v>
      </c>
      <c r="M130"/>
      <c r="N130"/>
    </row>
    <row r="131" spans="1:14" customFormat="1" ht="51" x14ac:dyDescent="0.2">
      <c r="A131" s="286">
        <v>18</v>
      </c>
      <c r="B131" s="287" t="s">
        <v>210</v>
      </c>
      <c r="C131" s="287" t="s">
        <v>462</v>
      </c>
      <c r="D131" s="288" t="s">
        <v>481</v>
      </c>
      <c r="E131" s="293">
        <f ca="1">IF(D131="","",(VLOOKUP($D131,master_food_list,'Master Food List'!N$91,FALSE)))</f>
        <v>400</v>
      </c>
      <c r="F131" s="293">
        <f ca="1">IF(E131="","",(VLOOKUP($D131,master_food_list,'Master Food List'!O$91,FALSE)))</f>
        <v>72</v>
      </c>
      <c r="G131" s="293">
        <f ca="1">IF(F131="","",(VLOOKUP($D131,master_food_list,'Master Food List'!P$91,FALSE)))</f>
        <v>6</v>
      </c>
      <c r="H131" s="293">
        <f ca="1">IF(G131="","",(VLOOKUP($D131,master_food_list,'Master Food List'!Q$91,FALSE)))</f>
        <v>10</v>
      </c>
      <c r="I131" s="293">
        <f ca="1">IF(H131="","",(VLOOKUP($D131,master_food_list,'Master Food List'!R$91,FALSE)))</f>
        <v>420</v>
      </c>
      <c r="J131" s="293">
        <f ca="1">IF(I131="","",(VLOOKUP($D131,master_food_list,'Master Food List'!S$91,FALSE)))</f>
        <v>0</v>
      </c>
      <c r="K131" s="293">
        <f ca="1">IF(J131="","",(VLOOKUP($D131,master_food_list,'Master Food List'!T$91,FALSE)))</f>
        <v>109.09090909090909</v>
      </c>
    </row>
    <row r="132" spans="1:14" customFormat="1" ht="51" x14ac:dyDescent="0.2">
      <c r="A132" s="286">
        <v>18</v>
      </c>
      <c r="B132" s="287" t="s">
        <v>210</v>
      </c>
      <c r="C132" s="287" t="s">
        <v>461</v>
      </c>
      <c r="D132" s="288" t="s">
        <v>433</v>
      </c>
      <c r="E132" s="293">
        <f ca="1">IF(D132="","",(VLOOKUP($D132,master_food_list,'Master Food List'!N$91,FALSE)))</f>
        <v>280</v>
      </c>
      <c r="F132" s="293">
        <f ca="1">IF(E132="","",(VLOOKUP($D132,master_food_list,'Master Food List'!O$91,FALSE)))</f>
        <v>34</v>
      </c>
      <c r="G132" s="293">
        <f ca="1">IF(F132="","",(VLOOKUP($D132,master_food_list,'Master Food List'!P$91,FALSE)))</f>
        <v>2</v>
      </c>
      <c r="H132" s="293">
        <f ca="1">IF(G132="","",(VLOOKUP($D132,master_food_list,'Master Food List'!Q$91,FALSE)))</f>
        <v>17</v>
      </c>
      <c r="I132" s="293">
        <f ca="1">IF(H132="","",(VLOOKUP($D132,master_food_list,'Master Food List'!R$91,FALSE)))</f>
        <v>0</v>
      </c>
      <c r="J132" s="293">
        <f ca="1">IF(I132="","",(VLOOKUP($D132,master_food_list,'Master Food List'!S$91,FALSE)))</f>
        <v>0</v>
      </c>
      <c r="K132" s="293">
        <f ca="1">IF(J132="","",(VLOOKUP($D132,master_food_list,'Master Food List'!T$91,FALSE)))</f>
        <v>140</v>
      </c>
    </row>
    <row r="133" spans="1:14" customFormat="1" ht="51" x14ac:dyDescent="0.2">
      <c r="A133" s="286">
        <v>18</v>
      </c>
      <c r="B133" s="287" t="s">
        <v>210</v>
      </c>
      <c r="C133" s="287" t="s">
        <v>460</v>
      </c>
      <c r="D133" s="289"/>
      <c r="E133" s="293" t="str">
        <f>IF(D133="","",(VLOOKUP($D133,master_food_list,'Master Food List'!N$91,FALSE)))</f>
        <v/>
      </c>
      <c r="F133" s="293" t="str">
        <f>IF(E133="","",(VLOOKUP($D133,master_food_list,'Master Food List'!O$91,FALSE)))</f>
        <v/>
      </c>
      <c r="G133" s="293" t="str">
        <f>IF(F133="","",(VLOOKUP($D133,master_food_list,'Master Food List'!P$91,FALSE)))</f>
        <v/>
      </c>
      <c r="H133" s="293" t="str">
        <f>IF(G133="","",(VLOOKUP($D133,master_food_list,'Master Food List'!Q$91,FALSE)))</f>
        <v/>
      </c>
      <c r="I133" s="293" t="str">
        <f>IF(H133="","",(VLOOKUP($D133,master_food_list,'Master Food List'!R$91,FALSE)))</f>
        <v/>
      </c>
      <c r="J133" s="293" t="str">
        <f>IF(I133="","",(VLOOKUP($D133,master_food_list,'Master Food List'!S$91,FALSE)))</f>
        <v/>
      </c>
      <c r="K133" s="293" t="str">
        <f>IF(J133="","",(VLOOKUP($D133,master_food_list,'Master Food List'!T$91,FALSE)))</f>
        <v/>
      </c>
    </row>
    <row r="134" spans="1:14" customFormat="1" ht="51" x14ac:dyDescent="0.2">
      <c r="A134" s="286">
        <v>18</v>
      </c>
      <c r="B134" s="287" t="s">
        <v>210</v>
      </c>
      <c r="C134" s="287" t="s">
        <v>459</v>
      </c>
      <c r="D134" s="288" t="s">
        <v>347</v>
      </c>
      <c r="E134" s="293">
        <f ca="1">IF(D134="","",(VLOOKUP($D134,master_food_list,'Master Food List'!N$91,FALSE)))</f>
        <v>665</v>
      </c>
      <c r="F134" s="293">
        <f ca="1">IF(E134="","",(VLOOKUP($D134,master_food_list,'Master Food List'!O$91,FALSE)))</f>
        <v>0</v>
      </c>
      <c r="G134" s="293">
        <f ca="1">IF(F134="","",(VLOOKUP($D134,master_food_list,'Master Food List'!P$91,FALSE)))</f>
        <v>35</v>
      </c>
      <c r="H134" s="293">
        <f ca="1">IF(G134="","",(VLOOKUP($D134,master_food_list,'Master Food List'!Q$91,FALSE)))</f>
        <v>56</v>
      </c>
      <c r="I134" s="293">
        <f ca="1">IF(H134="","",(VLOOKUP($D134,master_food_list,'Master Food List'!R$91,FALSE)))</f>
        <v>2415</v>
      </c>
      <c r="J134" s="293">
        <f ca="1">IF(I134="","",(VLOOKUP($D134,master_food_list,'Master Food List'!S$91,FALSE)))</f>
        <v>0</v>
      </c>
      <c r="K134" s="293">
        <f ca="1">IF(J134="","",(VLOOKUP($D134,master_food_list,'Master Food List'!T$91,FALSE)))</f>
        <v>180.70652173913044</v>
      </c>
    </row>
    <row r="135" spans="1:14" customFormat="1" ht="51" x14ac:dyDescent="0.2">
      <c r="A135" s="286">
        <v>18</v>
      </c>
      <c r="B135" s="287" t="s">
        <v>210</v>
      </c>
      <c r="C135" s="287" t="s">
        <v>458</v>
      </c>
      <c r="D135" s="289" t="s">
        <v>504</v>
      </c>
      <c r="E135" s="293">
        <f ca="1">IF(D135="","",(VLOOKUP($D135,master_food_list,'Master Food List'!N$91,FALSE)))</f>
        <v>860</v>
      </c>
      <c r="F135" s="293">
        <f ca="1">IF(E135="","",(VLOOKUP($D135,master_food_list,'Master Food List'!O$91,FALSE)))</f>
        <v>112</v>
      </c>
      <c r="G135" s="293">
        <f ca="1">IF(F135="","",(VLOOKUP($D135,master_food_list,'Master Food List'!P$91,FALSE)))</f>
        <v>38</v>
      </c>
      <c r="H135" s="293">
        <f ca="1">IF(G135="","",(VLOOKUP($D135,master_food_list,'Master Food List'!Q$91,FALSE)))</f>
        <v>28</v>
      </c>
      <c r="I135" s="293">
        <f ca="1">IF(H135="","",(VLOOKUP($D135,master_food_list,'Master Food List'!R$91,FALSE)))</f>
        <v>1220</v>
      </c>
      <c r="J135" s="293">
        <f ca="1">IF(I135="","",(VLOOKUP($D135,master_food_list,'Master Food List'!S$91,FALSE)))</f>
        <v>0</v>
      </c>
      <c r="K135" s="293">
        <f ca="1">IF(J135="","",(VLOOKUP($D135,master_food_list,'Master Food List'!T$91,FALSE)))</f>
        <v>121.12676056338029</v>
      </c>
    </row>
    <row r="136" spans="1:14" customFormat="1" ht="51" x14ac:dyDescent="0.2">
      <c r="A136" s="286">
        <v>18</v>
      </c>
      <c r="B136" s="287" t="s">
        <v>210</v>
      </c>
      <c r="C136" s="287" t="s">
        <v>457</v>
      </c>
      <c r="D136" s="289" t="s">
        <v>479</v>
      </c>
      <c r="E136" s="293">
        <f ca="1">IF(D136="","",(VLOOKUP($D136,master_food_list,'Master Food List'!N$91,FALSE)))</f>
        <v>300</v>
      </c>
      <c r="F136" s="293">
        <f ca="1">IF(E136="","",(VLOOKUP($D136,master_food_list,'Master Food List'!O$91,FALSE)))</f>
        <v>10.5</v>
      </c>
      <c r="G136" s="293">
        <f ca="1">IF(F136="","",(VLOOKUP($D136,master_food_list,'Master Food List'!P$91,FALSE)))</f>
        <v>10.5</v>
      </c>
      <c r="H136" s="293">
        <f ca="1">IF(G136="","",(VLOOKUP($D136,master_food_list,'Master Food List'!Q$91,FALSE)))</f>
        <v>25.5</v>
      </c>
      <c r="I136" s="293">
        <f ca="1">IF(H136="","",(VLOOKUP($D136,master_food_list,'Master Food List'!R$91,FALSE)))</f>
        <v>150</v>
      </c>
      <c r="J136" s="293">
        <f ca="1">IF(I136="","",(VLOOKUP($D136,master_food_list,'Master Food List'!S$91,FALSE)))</f>
        <v>0</v>
      </c>
      <c r="K136" s="293">
        <f ca="1">IF(J136="","",(VLOOKUP($D136,master_food_list,'Master Food List'!T$91,FALSE)))</f>
        <v>177.77777777777777</v>
      </c>
    </row>
    <row r="137" spans="1:14" customFormat="1" ht="51" x14ac:dyDescent="0.2">
      <c r="A137" s="286">
        <v>18</v>
      </c>
      <c r="B137" s="287" t="s">
        <v>210</v>
      </c>
      <c r="C137" s="287" t="s">
        <v>455</v>
      </c>
      <c r="D137" s="289" t="s">
        <v>313</v>
      </c>
      <c r="E137" s="293">
        <f ca="1">IF(D137="","",(VLOOKUP($D137,master_food_list,'Master Food List'!N$91,FALSE)))</f>
        <v>170</v>
      </c>
      <c r="F137" s="293">
        <f ca="1">IF(E137="","",(VLOOKUP($D137,master_food_list,'Master Food List'!O$91,FALSE)))</f>
        <v>28</v>
      </c>
      <c r="G137" s="293">
        <f ca="1">IF(F137="","",(VLOOKUP($D137,master_food_list,'Master Food List'!P$91,FALSE)))</f>
        <v>2</v>
      </c>
      <c r="H137" s="293">
        <f ca="1">IF(G137="","",(VLOOKUP($D137,master_food_list,'Master Food List'!Q$91,FALSE)))</f>
        <v>6</v>
      </c>
      <c r="I137" s="293">
        <f ca="1">IF(H137="","",(VLOOKUP($D137,master_food_list,'Master Food List'!R$91,FALSE)))</f>
        <v>135</v>
      </c>
      <c r="J137" s="293">
        <f ca="1">IF(I137="","",(VLOOKUP($D137,master_food_list,'Master Food List'!S$91,FALSE)))</f>
        <v>0</v>
      </c>
      <c r="K137" s="293">
        <f ca="1">IF(J137="","",(VLOOKUP($D137,master_food_list,'Master Food List'!T$91,FALSE)))</f>
        <v>150.44247787610621</v>
      </c>
    </row>
    <row r="138" spans="1:14" customFormat="1" ht="51" x14ac:dyDescent="0.2">
      <c r="A138" s="286">
        <v>19</v>
      </c>
      <c r="B138" s="287" t="s">
        <v>210</v>
      </c>
      <c r="C138" s="287" t="s">
        <v>462</v>
      </c>
      <c r="D138" s="288" t="s">
        <v>485</v>
      </c>
      <c r="E138" s="293">
        <f ca="1">IF(D138="","",(VLOOKUP($D138,master_food_list,'Master Food List'!N$91,FALSE)))</f>
        <v>500</v>
      </c>
      <c r="F138" s="293">
        <f ca="1">IF(E138="","",(VLOOKUP($D138,master_food_list,'Master Food List'!O$91,FALSE)))</f>
        <v>74</v>
      </c>
      <c r="G138" s="293">
        <f ca="1">IF(F138="","",(VLOOKUP($D138,master_food_list,'Master Food List'!P$91,FALSE)))</f>
        <v>16</v>
      </c>
      <c r="H138" s="293">
        <f ca="1">IF(G138="","",(VLOOKUP($D138,master_food_list,'Master Food List'!Q$91,FALSE)))</f>
        <v>18</v>
      </c>
      <c r="I138" s="293">
        <f ca="1">IF(H138="","",(VLOOKUP($D138,master_food_list,'Master Food List'!R$91,FALSE)))</f>
        <v>130</v>
      </c>
      <c r="J138" s="293">
        <f ca="1">IF(I138="","",(VLOOKUP($D138,master_food_list,'Master Food List'!S$91,FALSE)))</f>
        <v>0</v>
      </c>
      <c r="K138" s="293">
        <f ca="1">IF(J138="","",(VLOOKUP($D138,master_food_list,'Master Food List'!T$91,FALSE)))</f>
        <v>126.55024044545685</v>
      </c>
    </row>
    <row r="139" spans="1:14" customFormat="1" ht="51" x14ac:dyDescent="0.2">
      <c r="A139" s="286">
        <v>19</v>
      </c>
      <c r="B139" s="287" t="s">
        <v>210</v>
      </c>
      <c r="C139" s="287" t="s">
        <v>461</v>
      </c>
      <c r="D139" s="288" t="s">
        <v>333</v>
      </c>
      <c r="E139" s="293">
        <f ca="1">IF(D139="","",(VLOOKUP($D139,master_food_list,'Master Food List'!N$91,FALSE)))</f>
        <v>325</v>
      </c>
      <c r="F139" s="293">
        <f ca="1">IF(E139="","",(VLOOKUP($D139,master_food_list,'Master Food List'!O$91,FALSE)))</f>
        <v>40</v>
      </c>
      <c r="G139" s="293">
        <f ca="1">IF(F139="","",(VLOOKUP($D139,master_food_list,'Master Food List'!P$91,FALSE)))</f>
        <v>2.5</v>
      </c>
      <c r="H139" s="293">
        <f ca="1">IF(G139="","",(VLOOKUP($D139,master_food_list,'Master Food List'!Q$91,FALSE)))</f>
        <v>17.5</v>
      </c>
      <c r="I139" s="293">
        <f ca="1">IF(H139="","",(VLOOKUP($D139,master_food_list,'Master Food List'!R$91,FALSE)))</f>
        <v>25</v>
      </c>
      <c r="J139" s="293">
        <f ca="1">IF(I139="","",(VLOOKUP($D139,master_food_list,'Master Food List'!S$91,FALSE)))</f>
        <v>0</v>
      </c>
      <c r="K139" s="293">
        <f ca="1">IF(J139="","",(VLOOKUP($D139,master_food_list,'Master Food List'!T$91,FALSE)))</f>
        <v>156.25</v>
      </c>
    </row>
    <row r="140" spans="1:14" customFormat="1" ht="51" x14ac:dyDescent="0.2">
      <c r="A140" s="286">
        <v>19</v>
      </c>
      <c r="B140" s="287" t="s">
        <v>210</v>
      </c>
      <c r="C140" s="287" t="s">
        <v>460</v>
      </c>
      <c r="D140" s="289"/>
      <c r="E140" s="293" t="str">
        <f>IF(D140="","",(VLOOKUP($D140,master_food_list,'Master Food List'!N$91,FALSE)))</f>
        <v/>
      </c>
      <c r="F140" s="293" t="str">
        <f>IF(E140="","",(VLOOKUP($D140,master_food_list,'Master Food List'!O$91,FALSE)))</f>
        <v/>
      </c>
      <c r="G140" s="293" t="str">
        <f>IF(F140="","",(VLOOKUP($D140,master_food_list,'Master Food List'!P$91,FALSE)))</f>
        <v/>
      </c>
      <c r="H140" s="293" t="str">
        <f>IF(G140="","",(VLOOKUP($D140,master_food_list,'Master Food List'!Q$91,FALSE)))</f>
        <v/>
      </c>
      <c r="I140" s="293" t="str">
        <f>IF(H140="","",(VLOOKUP($D140,master_food_list,'Master Food List'!R$91,FALSE)))</f>
        <v/>
      </c>
      <c r="J140" s="293" t="str">
        <f>IF(I140="","",(VLOOKUP($D140,master_food_list,'Master Food List'!S$91,FALSE)))</f>
        <v/>
      </c>
      <c r="K140" s="293" t="str">
        <f>IF(J140="","",(VLOOKUP($D140,master_food_list,'Master Food List'!T$91,FALSE)))</f>
        <v/>
      </c>
    </row>
    <row r="141" spans="1:14" customFormat="1" ht="51" x14ac:dyDescent="0.2">
      <c r="A141" s="286">
        <v>19</v>
      </c>
      <c r="B141" s="287" t="s">
        <v>210</v>
      </c>
      <c r="C141" s="287" t="s">
        <v>459</v>
      </c>
      <c r="D141" s="288" t="s">
        <v>325</v>
      </c>
      <c r="E141" s="293">
        <f ca="1">IF(D141="","",(VLOOKUP($D141,master_food_list,'Master Food List'!N$91,FALSE)))</f>
        <v>130</v>
      </c>
      <c r="F141" s="293">
        <f ca="1">IF(E141="","",(VLOOKUP($D141,master_food_list,'Master Food List'!O$91,FALSE)))</f>
        <v>12</v>
      </c>
      <c r="G141" s="293">
        <f ca="1">IF(F141="","",(VLOOKUP($D141,master_food_list,'Master Food List'!P$91,FALSE)))</f>
        <v>8</v>
      </c>
      <c r="H141" s="293">
        <f ca="1">IF(G141="","",(VLOOKUP($D141,master_food_list,'Master Food List'!Q$91,FALSE)))</f>
        <v>6</v>
      </c>
      <c r="I141" s="293">
        <f ca="1">IF(H141="","",(VLOOKUP($D141,master_food_list,'Master Food List'!R$91,FALSE)))</f>
        <v>290</v>
      </c>
      <c r="J141" s="293">
        <f ca="1">IF(I141="","",(VLOOKUP($D141,master_food_list,'Master Food List'!S$91,FALSE)))</f>
        <v>0</v>
      </c>
      <c r="K141" s="293">
        <f ca="1">IF(J141="","",(VLOOKUP($D141,master_food_list,'Master Food List'!T$91,FALSE)))</f>
        <v>99.999999999999986</v>
      </c>
    </row>
    <row r="142" spans="1:14" customFormat="1" ht="51" x14ac:dyDescent="0.2">
      <c r="A142" s="286">
        <v>19</v>
      </c>
      <c r="B142" s="287" t="s">
        <v>210</v>
      </c>
      <c r="C142" s="287" t="s">
        <v>458</v>
      </c>
      <c r="D142" s="289" t="s">
        <v>445</v>
      </c>
      <c r="E142" s="293">
        <f ca="1">IF(D142="","",(VLOOKUP($D142,master_food_list,'Master Food List'!N$91,FALSE)))</f>
        <v>580</v>
      </c>
      <c r="F142" s="293">
        <f ca="1">IF(E142="","",(VLOOKUP($D142,master_food_list,'Master Food List'!O$91,FALSE)))</f>
        <v>84</v>
      </c>
      <c r="G142" s="293">
        <f ca="1">IF(F142="","",(VLOOKUP($D142,master_food_list,'Master Food List'!P$91,FALSE)))</f>
        <v>50</v>
      </c>
      <c r="H142" s="293">
        <f ca="1">IF(G142="","",(VLOOKUP($D142,master_food_list,'Master Food List'!Q$91,FALSE)))</f>
        <v>10</v>
      </c>
      <c r="I142" s="293">
        <f ca="1">IF(H142="","",(VLOOKUP($D142,master_food_list,'Master Food List'!R$91,FALSE)))</f>
        <v>1500</v>
      </c>
      <c r="J142" s="293">
        <f ca="1">IF(I142="","",(VLOOKUP($D142,master_food_list,'Master Food List'!S$91,FALSE)))</f>
        <v>0</v>
      </c>
      <c r="K142" s="293">
        <f ca="1">IF(J142="","",(VLOOKUP($D142,master_food_list,'Master Food List'!T$91,FALSE)))</f>
        <v>96.666666666666671</v>
      </c>
    </row>
    <row r="143" spans="1:14" customFormat="1" ht="51" x14ac:dyDescent="0.2">
      <c r="A143" s="286">
        <v>19</v>
      </c>
      <c r="B143" s="287" t="s">
        <v>210</v>
      </c>
      <c r="C143" s="287" t="s">
        <v>457</v>
      </c>
      <c r="D143" s="289" t="s">
        <v>479</v>
      </c>
      <c r="E143" s="293">
        <f ca="1">IF(D143="","",(VLOOKUP($D143,master_food_list,'Master Food List'!N$91,FALSE)))</f>
        <v>300</v>
      </c>
      <c r="F143" s="293">
        <f ca="1">IF(E143="","",(VLOOKUP($D143,master_food_list,'Master Food List'!O$91,FALSE)))</f>
        <v>10.5</v>
      </c>
      <c r="G143" s="293">
        <f ca="1">IF(F143="","",(VLOOKUP($D143,master_food_list,'Master Food List'!P$91,FALSE)))</f>
        <v>10.5</v>
      </c>
      <c r="H143" s="293">
        <f ca="1">IF(G143="","",(VLOOKUP($D143,master_food_list,'Master Food List'!Q$91,FALSE)))</f>
        <v>25.5</v>
      </c>
      <c r="I143" s="293">
        <f ca="1">IF(H143="","",(VLOOKUP($D143,master_food_list,'Master Food List'!R$91,FALSE)))</f>
        <v>150</v>
      </c>
      <c r="J143" s="293">
        <f ca="1">IF(I143="","",(VLOOKUP($D143,master_food_list,'Master Food List'!S$91,FALSE)))</f>
        <v>0</v>
      </c>
      <c r="K143" s="293">
        <f ca="1">IF(J143="","",(VLOOKUP($D143,master_food_list,'Master Food List'!T$91,FALSE)))</f>
        <v>177.77777777777777</v>
      </c>
    </row>
    <row r="144" spans="1:14" customFormat="1" ht="51" x14ac:dyDescent="0.2">
      <c r="A144" s="286">
        <v>19</v>
      </c>
      <c r="B144" s="287" t="s">
        <v>210</v>
      </c>
      <c r="C144" s="287" t="s">
        <v>455</v>
      </c>
      <c r="D144" s="289" t="s">
        <v>505</v>
      </c>
      <c r="E144" s="293">
        <f ca="1">IF(D144="","",(VLOOKUP($D144,master_food_list,'Master Food List'!N$91,FALSE)))</f>
        <v>500</v>
      </c>
      <c r="F144" s="293">
        <f ca="1">IF(E144="","",(VLOOKUP($D144,master_food_list,'Master Food List'!O$91,FALSE)))</f>
        <v>108</v>
      </c>
      <c r="G144" s="293">
        <f ca="1">IF(F144="","",(VLOOKUP($D144,master_food_list,'Master Food List'!P$91,FALSE)))</f>
        <v>10</v>
      </c>
      <c r="H144" s="293">
        <f ca="1">IF(G144="","",(VLOOKUP($D144,master_food_list,'Master Food List'!Q$91,FALSE)))</f>
        <v>5</v>
      </c>
      <c r="I144" s="293">
        <f ca="1">IF(H144="","",(VLOOKUP($D144,master_food_list,'Master Food List'!R$91,FALSE)))</f>
        <v>680</v>
      </c>
      <c r="J144" s="293">
        <f ca="1">IF(I144="","",(VLOOKUP($D144,master_food_list,'Master Food List'!S$91,FALSE)))</f>
        <v>0</v>
      </c>
      <c r="K144" s="293">
        <f ca="1">IF(J144="","",(VLOOKUP($D144,master_food_list,'Master Food List'!T$91,FALSE)))</f>
        <v>111.11111111111111</v>
      </c>
    </row>
    <row r="145" spans="1:11" customFormat="1" ht="51" x14ac:dyDescent="0.2">
      <c r="A145" s="286">
        <v>20</v>
      </c>
      <c r="B145" s="287" t="s">
        <v>210</v>
      </c>
      <c r="C145" s="287" t="s">
        <v>462</v>
      </c>
      <c r="D145" s="288" t="s">
        <v>480</v>
      </c>
      <c r="E145" s="293">
        <f ca="1">IF(D145="","",(VLOOKUP($D145,master_food_list,'Master Food List'!N$91,FALSE)))</f>
        <v>620</v>
      </c>
      <c r="F145" s="293">
        <f ca="1">IF(E145="","",(VLOOKUP($D145,master_food_list,'Master Food List'!O$91,FALSE)))</f>
        <v>74</v>
      </c>
      <c r="G145" s="293">
        <f ca="1">IF(F145="","",(VLOOKUP($D145,master_food_list,'Master Food List'!P$91,FALSE)))</f>
        <v>16</v>
      </c>
      <c r="H145" s="293">
        <f ca="1">IF(G145="","",(VLOOKUP($D145,master_food_list,'Master Food List'!Q$91,FALSE)))</f>
        <v>31</v>
      </c>
      <c r="I145" s="293">
        <f ca="1">IF(H145="","",(VLOOKUP($D145,master_food_list,'Master Food List'!R$91,FALSE)))</f>
        <v>280</v>
      </c>
      <c r="J145" s="293">
        <f ca="1">IF(I145="","",(VLOOKUP($D145,master_food_list,'Master Food List'!S$91,FALSE)))</f>
        <v>0</v>
      </c>
      <c r="K145" s="293">
        <f ca="1">IF(J145="","",(VLOOKUP($D145,master_food_list,'Master Food List'!T$91,FALSE)))</f>
        <v>130.52631578947367</v>
      </c>
    </row>
    <row r="146" spans="1:11" customFormat="1" ht="51" x14ac:dyDescent="0.2">
      <c r="A146" s="286">
        <v>20</v>
      </c>
      <c r="B146" s="287" t="s">
        <v>210</v>
      </c>
      <c r="C146" s="287" t="s">
        <v>461</v>
      </c>
      <c r="D146" s="288" t="s">
        <v>414</v>
      </c>
      <c r="E146" s="293">
        <f ca="1">IF(D146="","",(VLOOKUP($D146,master_food_list,'Master Food List'!N$91,FALSE)))</f>
        <v>250</v>
      </c>
      <c r="F146" s="293">
        <f ca="1">IF(E146="","",(VLOOKUP($D146,master_food_list,'Master Food List'!O$91,FALSE)))</f>
        <v>33</v>
      </c>
      <c r="G146" s="293">
        <f ca="1">IF(F146="","",(VLOOKUP($D146,master_food_list,'Master Food List'!P$91,FALSE)))</f>
        <v>4</v>
      </c>
      <c r="H146" s="293">
        <f ca="1">IF(G146="","",(VLOOKUP($D146,master_food_list,'Master Food List'!Q$91,FALSE)))</f>
        <v>12</v>
      </c>
      <c r="I146" s="293">
        <f ca="1">IF(H146="","",(VLOOKUP($D146,master_food_list,'Master Food List'!R$91,FALSE)))</f>
        <v>120</v>
      </c>
      <c r="J146" s="293">
        <f ca="1">IF(I146="","",(VLOOKUP($D146,master_food_list,'Master Food List'!S$91,FALSE)))</f>
        <v>0</v>
      </c>
      <c r="K146" s="293">
        <f ca="1">IF(J146="","",(VLOOKUP($D146,master_food_list,'Master Food List'!T$91,FALSE)))</f>
        <v>134.40860215053763</v>
      </c>
    </row>
    <row r="147" spans="1:11" customFormat="1" ht="51" x14ac:dyDescent="0.2">
      <c r="A147" s="286">
        <v>20</v>
      </c>
      <c r="B147" s="287" t="s">
        <v>210</v>
      </c>
      <c r="C147" s="287" t="s">
        <v>460</v>
      </c>
      <c r="D147" s="289"/>
      <c r="E147" s="293" t="str">
        <f>IF(D147="","",(VLOOKUP($D147,master_food_list,'Master Food List'!N$91,FALSE)))</f>
        <v/>
      </c>
      <c r="F147" s="293" t="str">
        <f>IF(E147="","",(VLOOKUP($D147,master_food_list,'Master Food List'!O$91,FALSE)))</f>
        <v/>
      </c>
      <c r="G147" s="293" t="str">
        <f>IF(F147="","",(VLOOKUP($D147,master_food_list,'Master Food List'!P$91,FALSE)))</f>
        <v/>
      </c>
      <c r="H147" s="293" t="str">
        <f>IF(G147="","",(VLOOKUP($D147,master_food_list,'Master Food List'!Q$91,FALSE)))</f>
        <v/>
      </c>
      <c r="I147" s="293" t="str">
        <f>IF(H147="","",(VLOOKUP($D147,master_food_list,'Master Food List'!R$91,FALSE)))</f>
        <v/>
      </c>
      <c r="J147" s="293" t="str">
        <f>IF(I147="","",(VLOOKUP($D147,master_food_list,'Master Food List'!S$91,FALSE)))</f>
        <v/>
      </c>
      <c r="K147" s="293" t="str">
        <f>IF(J147="","",(VLOOKUP($D147,master_food_list,'Master Food List'!T$91,FALSE)))</f>
        <v/>
      </c>
    </row>
    <row r="148" spans="1:11" customFormat="1" ht="51" x14ac:dyDescent="0.2">
      <c r="A148" s="286">
        <v>20</v>
      </c>
      <c r="B148" s="287" t="s">
        <v>210</v>
      </c>
      <c r="C148" s="287" t="s">
        <v>459</v>
      </c>
      <c r="D148" s="288" t="s">
        <v>347</v>
      </c>
      <c r="E148" s="293">
        <f ca="1">IF(D148="","",(VLOOKUP($D148,master_food_list,'Master Food List'!N$91,FALSE)))</f>
        <v>665</v>
      </c>
      <c r="F148" s="293">
        <f ca="1">IF(E148="","",(VLOOKUP($D148,master_food_list,'Master Food List'!O$91,FALSE)))</f>
        <v>0</v>
      </c>
      <c r="G148" s="293">
        <f ca="1">IF(F148="","",(VLOOKUP($D148,master_food_list,'Master Food List'!P$91,FALSE)))</f>
        <v>35</v>
      </c>
      <c r="H148" s="293">
        <f ca="1">IF(G148="","",(VLOOKUP($D148,master_food_list,'Master Food List'!Q$91,FALSE)))</f>
        <v>56</v>
      </c>
      <c r="I148" s="293">
        <f ca="1">IF(H148="","",(VLOOKUP($D148,master_food_list,'Master Food List'!R$91,FALSE)))</f>
        <v>2415</v>
      </c>
      <c r="J148" s="293">
        <f ca="1">IF(I148="","",(VLOOKUP($D148,master_food_list,'Master Food List'!S$91,FALSE)))</f>
        <v>0</v>
      </c>
      <c r="K148" s="293">
        <f ca="1">IF(J148="","",(VLOOKUP($D148,master_food_list,'Master Food List'!T$91,FALSE)))</f>
        <v>180.70652173913044</v>
      </c>
    </row>
    <row r="149" spans="1:11" customFormat="1" ht="51" x14ac:dyDescent="0.2">
      <c r="A149" s="286">
        <v>20</v>
      </c>
      <c r="B149" s="287" t="s">
        <v>210</v>
      </c>
      <c r="C149" s="287" t="s">
        <v>458</v>
      </c>
      <c r="D149" s="289" t="s">
        <v>336</v>
      </c>
      <c r="E149" s="293">
        <f ca="1">IF(D149="","",(VLOOKUP($D149,master_food_list,'Master Food List'!N$91,FALSE)))</f>
        <v>575</v>
      </c>
      <c r="F149" s="293">
        <f ca="1">IF(E149="","",(VLOOKUP($D149,master_food_list,'Master Food List'!O$91,FALSE)))</f>
        <v>77.5</v>
      </c>
      <c r="G149" s="293">
        <f ca="1">IF(F149="","",(VLOOKUP($D149,master_food_list,'Master Food List'!P$91,FALSE)))</f>
        <v>30</v>
      </c>
      <c r="H149" s="293">
        <f ca="1">IF(G149="","",(VLOOKUP($D149,master_food_list,'Master Food List'!Q$91,FALSE)))</f>
        <v>15</v>
      </c>
      <c r="I149" s="293">
        <f ca="1">IF(H149="","",(VLOOKUP($D149,master_food_list,'Master Food List'!R$91,FALSE)))</f>
        <v>1950</v>
      </c>
      <c r="J149" s="293">
        <f ca="1">IF(I149="","",(VLOOKUP($D149,master_food_list,'Master Food List'!S$91,FALSE)))</f>
        <v>0</v>
      </c>
      <c r="K149" s="293">
        <f ca="1">IF(J149="","",(VLOOKUP($D149,master_food_list,'Master Food List'!T$91,FALSE)))</f>
        <v>117.2870984191739</v>
      </c>
    </row>
    <row r="150" spans="1:11" customFormat="1" ht="51" x14ac:dyDescent="0.2">
      <c r="A150" s="286">
        <v>20</v>
      </c>
      <c r="B150" s="287" t="s">
        <v>210</v>
      </c>
      <c r="C150" s="287" t="s">
        <v>457</v>
      </c>
      <c r="D150" s="289" t="s">
        <v>479</v>
      </c>
      <c r="E150" s="293">
        <f ca="1">IF(D150="","",(VLOOKUP($D150,master_food_list,'Master Food List'!N$91,FALSE)))</f>
        <v>300</v>
      </c>
      <c r="F150" s="293">
        <f ca="1">IF(E150="","",(VLOOKUP($D150,master_food_list,'Master Food List'!O$91,FALSE)))</f>
        <v>10.5</v>
      </c>
      <c r="G150" s="293">
        <f ca="1">IF(F150="","",(VLOOKUP($D150,master_food_list,'Master Food List'!P$91,FALSE)))</f>
        <v>10.5</v>
      </c>
      <c r="H150" s="293">
        <f ca="1">IF(G150="","",(VLOOKUP($D150,master_food_list,'Master Food List'!Q$91,FALSE)))</f>
        <v>25.5</v>
      </c>
      <c r="I150" s="293">
        <f ca="1">IF(H150="","",(VLOOKUP($D150,master_food_list,'Master Food List'!R$91,FALSE)))</f>
        <v>150</v>
      </c>
      <c r="J150" s="293">
        <f ca="1">IF(I150="","",(VLOOKUP($D150,master_food_list,'Master Food List'!S$91,FALSE)))</f>
        <v>0</v>
      </c>
      <c r="K150" s="293">
        <f ca="1">IF(J150="","",(VLOOKUP($D150,master_food_list,'Master Food List'!T$91,FALSE)))</f>
        <v>177.77777777777777</v>
      </c>
    </row>
    <row r="151" spans="1:11" customFormat="1" ht="51" x14ac:dyDescent="0.2">
      <c r="A151" s="286">
        <v>20</v>
      </c>
      <c r="B151" s="287" t="s">
        <v>210</v>
      </c>
      <c r="C151" s="287" t="s">
        <v>455</v>
      </c>
      <c r="D151" s="289" t="s">
        <v>478</v>
      </c>
      <c r="E151" s="293">
        <f ca="1">IF(D151="","",(VLOOKUP($D151,master_food_list,'Master Food List'!N$91,FALSE)))</f>
        <v>540</v>
      </c>
      <c r="F151" s="293">
        <f ca="1">IF(E151="","",(VLOOKUP($D151,master_food_list,'Master Food List'!O$91,FALSE)))</f>
        <v>105</v>
      </c>
      <c r="G151" s="293">
        <f ca="1">IF(F151="","",(VLOOKUP($D151,master_food_list,'Master Food List'!P$91,FALSE)))</f>
        <v>6</v>
      </c>
      <c r="H151" s="293">
        <f ca="1">IF(G151="","",(VLOOKUP($D151,master_food_list,'Master Food List'!Q$91,FALSE)))</f>
        <v>12</v>
      </c>
      <c r="I151" s="293">
        <f ca="1">IF(H151="","",(VLOOKUP($D151,master_food_list,'Master Food List'!R$91,FALSE)))</f>
        <v>240</v>
      </c>
      <c r="J151" s="293">
        <f ca="1">IF(I151="","",(VLOOKUP($D151,master_food_list,'Master Food List'!S$91,FALSE)))</f>
        <v>0</v>
      </c>
      <c r="K151" s="293">
        <f ca="1">IF(J151="","",(VLOOKUP($D151,master_food_list,'Master Food List'!T$91,FALSE)))</f>
        <v>117.64705882352942</v>
      </c>
    </row>
    <row r="152" spans="1:11" s="190" customFormat="1" ht="51" x14ac:dyDescent="0.2">
      <c r="A152" s="278">
        <v>21</v>
      </c>
      <c r="B152" s="279" t="s">
        <v>456</v>
      </c>
      <c r="C152" s="279" t="s">
        <v>462</v>
      </c>
      <c r="D152" s="280" t="s">
        <v>498</v>
      </c>
      <c r="E152" s="291">
        <f ca="1">IF(D152="","",(VLOOKUP($D152,master_food_list,'Master Food List'!N$91,FALSE)))</f>
        <v>1020</v>
      </c>
      <c r="F152" s="291">
        <f ca="1">IF(E152="","",(VLOOKUP($D152,master_food_list,'Master Food List'!O$91,FALSE)))</f>
        <v>96</v>
      </c>
      <c r="G152" s="291">
        <f ca="1">IF(F152="","",(VLOOKUP($D152,master_food_list,'Master Food List'!P$91,FALSE)))</f>
        <v>34</v>
      </c>
      <c r="H152" s="291">
        <f ca="1">IF(G152="","",(VLOOKUP($D152,master_food_list,'Master Food List'!Q$91,FALSE)))</f>
        <v>53</v>
      </c>
      <c r="I152" s="291">
        <f ca="1">IF(H152="","",(VLOOKUP($D152,master_food_list,'Master Food List'!R$91,FALSE)))</f>
        <v>2460</v>
      </c>
      <c r="J152" s="291">
        <f ca="1">IF(I152="","",(VLOOKUP($D152,master_food_list,'Master Food List'!S$91,FALSE)))</f>
        <v>0</v>
      </c>
      <c r="K152" s="291">
        <f ca="1">IF(J152="","",(VLOOKUP($D152,master_food_list,'Master Food List'!T$91,FALSE)))</f>
        <v>0</v>
      </c>
    </row>
    <row r="153" spans="1:11" s="190" customFormat="1" ht="51" x14ac:dyDescent="0.2">
      <c r="A153" s="278">
        <v>21</v>
      </c>
      <c r="B153" s="279" t="s">
        <v>456</v>
      </c>
      <c r="C153" s="279" t="s">
        <v>461</v>
      </c>
      <c r="D153" s="280" t="s">
        <v>522</v>
      </c>
      <c r="E153" s="291">
        <f ca="1">IF(D153="","",(VLOOKUP($D153,master_food_list,'Master Food List'!N$91,FALSE)))</f>
        <v>300</v>
      </c>
      <c r="F153" s="291">
        <f ca="1">IF(E153="","",(VLOOKUP($D153,master_food_list,'Master Food List'!O$91,FALSE)))</f>
        <v>26</v>
      </c>
      <c r="G153" s="291">
        <f ca="1">IF(F153="","",(VLOOKUP($D153,master_food_list,'Master Food List'!P$91,FALSE)))</f>
        <v>4</v>
      </c>
      <c r="H153" s="291">
        <f ca="1">IF(G153="","",(VLOOKUP($D153,master_food_list,'Master Food List'!Q$91,FALSE)))</f>
        <v>20</v>
      </c>
      <c r="I153" s="291">
        <f ca="1">IF(H153="","",(VLOOKUP($D153,master_food_list,'Master Food List'!R$91,FALSE)))</f>
        <v>500</v>
      </c>
      <c r="J153" s="291">
        <f ca="1">IF(I153="","",(VLOOKUP($D153,master_food_list,'Master Food List'!S$91,FALSE)))</f>
        <v>0</v>
      </c>
      <c r="K153" s="291">
        <f ca="1">IF(J153="","",(VLOOKUP($D153,master_food_list,'Master Food List'!T$91,FALSE)))</f>
        <v>154.28571428571428</v>
      </c>
    </row>
    <row r="154" spans="1:11" s="190" customFormat="1" ht="51" x14ac:dyDescent="0.2">
      <c r="A154" s="278">
        <v>21</v>
      </c>
      <c r="B154" s="279" t="s">
        <v>456</v>
      </c>
      <c r="C154" s="279" t="s">
        <v>460</v>
      </c>
      <c r="D154" s="281" t="s">
        <v>495</v>
      </c>
      <c r="E154" s="291">
        <f ca="1">IF(D154="","",(VLOOKUP($D154,master_food_list,'Master Food List'!N$91,FALSE)))</f>
        <v>122</v>
      </c>
      <c r="F154" s="291">
        <f ca="1">IF(E154="","",(VLOOKUP($D154,master_food_list,'Master Food List'!O$91,FALSE)))</f>
        <v>18</v>
      </c>
      <c r="G154" s="291">
        <f ca="1">IF(F154="","",(VLOOKUP($D154,master_food_list,'Master Food List'!P$91,FALSE)))</f>
        <v>9</v>
      </c>
      <c r="H154" s="291">
        <f ca="1">IF(G154="","",(VLOOKUP($D154,master_food_list,'Master Food List'!Q$91,FALSE)))</f>
        <v>7.5</v>
      </c>
      <c r="I154" s="291">
        <f ca="1">IF(H154="","",(VLOOKUP($D154,master_food_list,'Master Food List'!R$91,FALSE)))</f>
        <v>105</v>
      </c>
      <c r="J154" s="291">
        <f ca="1">IF(I154="","",(VLOOKUP($D154,master_food_list,'Master Food List'!S$91,FALSE)))</f>
        <v>0</v>
      </c>
      <c r="K154" s="291">
        <f ca="1">IF(J154="","",(VLOOKUP($D154,master_food_list,'Master Food List'!T$91,FALSE)))</f>
        <v>0</v>
      </c>
    </row>
    <row r="155" spans="1:11" s="190" customFormat="1" ht="51" x14ac:dyDescent="0.2">
      <c r="A155" s="278">
        <v>21</v>
      </c>
      <c r="B155" s="279" t="s">
        <v>456</v>
      </c>
      <c r="C155" s="279" t="s">
        <v>459</v>
      </c>
      <c r="D155" s="280" t="s">
        <v>333</v>
      </c>
      <c r="E155" s="291">
        <f ca="1">IF(D155="","",(VLOOKUP($D155,master_food_list,'Master Food List'!N$91,FALSE)))</f>
        <v>325</v>
      </c>
      <c r="F155" s="291">
        <f ca="1">IF(E155="","",(VLOOKUP($D155,master_food_list,'Master Food List'!O$91,FALSE)))</f>
        <v>40</v>
      </c>
      <c r="G155" s="291">
        <f ca="1">IF(F155="","",(VLOOKUP($D155,master_food_list,'Master Food List'!P$91,FALSE)))</f>
        <v>2.5</v>
      </c>
      <c r="H155" s="291">
        <f ca="1">IF(G155="","",(VLOOKUP($D155,master_food_list,'Master Food List'!Q$91,FALSE)))</f>
        <v>17.5</v>
      </c>
      <c r="I155" s="291">
        <f ca="1">IF(H155="","",(VLOOKUP($D155,master_food_list,'Master Food List'!R$91,FALSE)))</f>
        <v>25</v>
      </c>
      <c r="J155" s="291">
        <f ca="1">IF(I155="","",(VLOOKUP($D155,master_food_list,'Master Food List'!S$91,FALSE)))</f>
        <v>0</v>
      </c>
      <c r="K155" s="291">
        <f ca="1">IF(J155="","",(VLOOKUP($D155,master_food_list,'Master Food List'!T$91,FALSE)))</f>
        <v>156.25</v>
      </c>
    </row>
    <row r="156" spans="1:11" s="190" customFormat="1" ht="51" x14ac:dyDescent="0.2">
      <c r="A156" s="278">
        <v>21</v>
      </c>
      <c r="B156" s="279" t="s">
        <v>456</v>
      </c>
      <c r="C156" s="279" t="s">
        <v>458</v>
      </c>
      <c r="D156" s="281" t="s">
        <v>409</v>
      </c>
      <c r="E156" s="291">
        <f ca="1">IF(D156="","",(VLOOKUP($D156,master_food_list,'Master Food List'!N$91,FALSE)))</f>
        <v>480</v>
      </c>
      <c r="F156" s="291">
        <f ca="1">IF(E156="","",(VLOOKUP($D156,master_food_list,'Master Food List'!O$91,FALSE)))</f>
        <v>84</v>
      </c>
      <c r="G156" s="291">
        <f ca="1">IF(F156="","",(VLOOKUP($D156,master_food_list,'Master Food List'!P$91,FALSE)))</f>
        <v>30</v>
      </c>
      <c r="H156" s="291">
        <f ca="1">IF(G156="","",(VLOOKUP($D156,master_food_list,'Master Food List'!Q$91,FALSE)))</f>
        <v>3</v>
      </c>
      <c r="I156" s="291">
        <f ca="1">IF(H156="","",(VLOOKUP($D156,master_food_list,'Master Food List'!R$91,FALSE)))</f>
        <v>1530</v>
      </c>
      <c r="J156" s="291">
        <f ca="1">IF(I156="","",(VLOOKUP($D156,master_food_list,'Master Food List'!S$91,FALSE)))</f>
        <v>0</v>
      </c>
      <c r="K156" s="291">
        <f ca="1">IF(J156="","",(VLOOKUP($D156,master_food_list,'Master Food List'!T$91,FALSE)))</f>
        <v>101.93905817174515</v>
      </c>
    </row>
    <row r="157" spans="1:11" s="190" customFormat="1" ht="51" x14ac:dyDescent="0.2">
      <c r="A157" s="278">
        <v>21</v>
      </c>
      <c r="B157" s="279" t="s">
        <v>456</v>
      </c>
      <c r="C157" s="279" t="s">
        <v>457</v>
      </c>
      <c r="D157" s="281"/>
      <c r="E157" s="291" t="str">
        <f>IF(D157="","",(VLOOKUP($D157,master_food_list,'Master Food List'!N$91,FALSE)))</f>
        <v/>
      </c>
      <c r="F157" s="291" t="str">
        <f>IF(E157="","",(VLOOKUP($D157,master_food_list,'Master Food List'!O$91,FALSE)))</f>
        <v/>
      </c>
      <c r="G157" s="291" t="str">
        <f>IF(F157="","",(VLOOKUP($D157,master_food_list,'Master Food List'!P$91,FALSE)))</f>
        <v/>
      </c>
      <c r="H157" s="291" t="str">
        <f>IF(G157="","",(VLOOKUP($D157,master_food_list,'Master Food List'!Q$91,FALSE)))</f>
        <v/>
      </c>
      <c r="I157" s="291" t="str">
        <f>IF(H157="","",(VLOOKUP($D157,master_food_list,'Master Food List'!R$91,FALSE)))</f>
        <v/>
      </c>
      <c r="J157" s="291" t="str">
        <f>IF(I157="","",(VLOOKUP($D157,master_food_list,'Master Food List'!S$91,FALSE)))</f>
        <v/>
      </c>
      <c r="K157" s="291" t="str">
        <f>IF(J157="","",(VLOOKUP($D157,master_food_list,'Master Food List'!T$91,FALSE)))</f>
        <v/>
      </c>
    </row>
    <row r="158" spans="1:11" s="190" customFormat="1" ht="51" x14ac:dyDescent="0.2">
      <c r="A158" s="278">
        <v>21</v>
      </c>
      <c r="B158" s="279" t="s">
        <v>456</v>
      </c>
      <c r="C158" s="279" t="s">
        <v>455</v>
      </c>
      <c r="D158" s="281" t="s">
        <v>483</v>
      </c>
      <c r="E158" s="291">
        <f ca="1">IF(D158="","",(VLOOKUP($D158,master_food_list,'Master Food List'!N$91,FALSE)))</f>
        <v>200</v>
      </c>
      <c r="F158" s="291">
        <f ca="1">IF(E158="","",(VLOOKUP($D158,master_food_list,'Master Food List'!O$91,FALSE)))</f>
        <v>31</v>
      </c>
      <c r="G158" s="291">
        <f ca="1">IF(F158="","",(VLOOKUP($D158,master_food_list,'Master Food List'!P$91,FALSE)))</f>
        <v>2</v>
      </c>
      <c r="H158" s="291">
        <f ca="1">IF(G158="","",(VLOOKUP($D158,master_food_list,'Master Food List'!Q$91,FALSE)))</f>
        <v>8</v>
      </c>
      <c r="I158" s="291">
        <f ca="1">IF(H158="","",(VLOOKUP($D158,master_food_list,'Master Food List'!R$91,FALSE)))</f>
        <v>30</v>
      </c>
      <c r="J158" s="291">
        <f ca="1">IF(I158="","",(VLOOKUP($D158,master_food_list,'Master Food List'!S$91,FALSE)))</f>
        <v>0</v>
      </c>
      <c r="K158" s="291">
        <f ca="1">IF(J158="","",(VLOOKUP($D158,master_food_list,'Master Food List'!T$91,FALSE)))</f>
        <v>133.33333333333334</v>
      </c>
    </row>
    <row r="159" spans="1:11" s="190" customFormat="1" ht="51" x14ac:dyDescent="0.2">
      <c r="A159" s="278">
        <v>22</v>
      </c>
      <c r="B159" s="279" t="s">
        <v>456</v>
      </c>
      <c r="C159" s="279" t="s">
        <v>462</v>
      </c>
      <c r="D159" s="280" t="s">
        <v>481</v>
      </c>
      <c r="E159" s="291">
        <f ca="1">IF(D159="","",(VLOOKUP($D159,master_food_list,'Master Food List'!N$91,FALSE)))</f>
        <v>400</v>
      </c>
      <c r="F159" s="291">
        <f ca="1">IF(E159="","",(VLOOKUP($D159,master_food_list,'Master Food List'!O$91,FALSE)))</f>
        <v>72</v>
      </c>
      <c r="G159" s="291">
        <f ca="1">IF(F159="","",(VLOOKUP($D159,master_food_list,'Master Food List'!P$91,FALSE)))</f>
        <v>6</v>
      </c>
      <c r="H159" s="291">
        <f ca="1">IF(G159="","",(VLOOKUP($D159,master_food_list,'Master Food List'!Q$91,FALSE)))</f>
        <v>10</v>
      </c>
      <c r="I159" s="291">
        <f ca="1">IF(H159="","",(VLOOKUP($D159,master_food_list,'Master Food List'!R$91,FALSE)))</f>
        <v>420</v>
      </c>
      <c r="J159" s="291">
        <f ca="1">IF(I159="","",(VLOOKUP($D159,master_food_list,'Master Food List'!S$91,FALSE)))</f>
        <v>0</v>
      </c>
      <c r="K159" s="291">
        <f ca="1">IF(J159="","",(VLOOKUP($D159,master_food_list,'Master Food List'!T$91,FALSE)))</f>
        <v>109.09090909090909</v>
      </c>
    </row>
    <row r="160" spans="1:11" s="190" customFormat="1" ht="51" x14ac:dyDescent="0.2">
      <c r="A160" s="278">
        <v>22</v>
      </c>
      <c r="B160" s="279" t="s">
        <v>456</v>
      </c>
      <c r="C160" s="279" t="s">
        <v>461</v>
      </c>
      <c r="D160" s="280" t="s">
        <v>327</v>
      </c>
      <c r="E160" s="291">
        <f ca="1">IF(D160="","",(VLOOKUP($D160,master_food_list,'Master Food List'!N$91,FALSE)))</f>
        <v>130</v>
      </c>
      <c r="F160" s="291">
        <f ca="1">IF(E160="","",(VLOOKUP($D160,master_food_list,'Master Food List'!O$91,FALSE)))</f>
        <v>8</v>
      </c>
      <c r="G160" s="291">
        <f ca="1">IF(F160="","",(VLOOKUP($D160,master_food_list,'Master Food List'!P$91,FALSE)))</f>
        <v>7</v>
      </c>
      <c r="H160" s="291">
        <f ca="1">IF(G160="","",(VLOOKUP($D160,master_food_list,'Master Food List'!Q$91,FALSE)))</f>
        <v>8</v>
      </c>
      <c r="I160" s="291">
        <f ca="1">IF(H160="","",(VLOOKUP($D160,master_food_list,'Master Food List'!R$91,FALSE)))</f>
        <v>320</v>
      </c>
      <c r="J160" s="291">
        <f ca="1">IF(I160="","",(VLOOKUP($D160,master_food_list,'Master Food List'!S$91,FALSE)))</f>
        <v>0</v>
      </c>
      <c r="K160" s="291">
        <f ca="1">IF(J160="","",(VLOOKUP($D160,master_food_list,'Master Food List'!T$91,FALSE)))</f>
        <v>99.999999999999986</v>
      </c>
    </row>
    <row r="161" spans="1:11" s="190" customFormat="1" ht="51" x14ac:dyDescent="0.2">
      <c r="A161" s="278">
        <v>22</v>
      </c>
      <c r="B161" s="279" t="s">
        <v>456</v>
      </c>
      <c r="C161" s="279" t="s">
        <v>460</v>
      </c>
      <c r="D161" s="281" t="s">
        <v>495</v>
      </c>
      <c r="E161" s="291">
        <f ca="1">IF(D161="","",(VLOOKUP($D161,master_food_list,'Master Food List'!N$91,FALSE)))</f>
        <v>122</v>
      </c>
      <c r="F161" s="291">
        <f ca="1">IF(E161="","",(VLOOKUP($D161,master_food_list,'Master Food List'!O$91,FALSE)))</f>
        <v>18</v>
      </c>
      <c r="G161" s="291">
        <f ca="1">IF(F161="","",(VLOOKUP($D161,master_food_list,'Master Food List'!P$91,FALSE)))</f>
        <v>9</v>
      </c>
      <c r="H161" s="291">
        <f ca="1">IF(G161="","",(VLOOKUP($D161,master_food_list,'Master Food List'!Q$91,FALSE)))</f>
        <v>7.5</v>
      </c>
      <c r="I161" s="291">
        <f ca="1">IF(H161="","",(VLOOKUP($D161,master_food_list,'Master Food List'!R$91,FALSE)))</f>
        <v>105</v>
      </c>
      <c r="J161" s="291">
        <f ca="1">IF(I161="","",(VLOOKUP($D161,master_food_list,'Master Food List'!S$91,FALSE)))</f>
        <v>0</v>
      </c>
      <c r="K161" s="291">
        <f ca="1">IF(J161="","",(VLOOKUP($D161,master_food_list,'Master Food List'!T$91,FALSE)))</f>
        <v>0</v>
      </c>
    </row>
    <row r="162" spans="1:11" s="190" customFormat="1" ht="51" x14ac:dyDescent="0.2">
      <c r="A162" s="278">
        <v>22</v>
      </c>
      <c r="B162" s="279" t="s">
        <v>456</v>
      </c>
      <c r="C162" s="279" t="s">
        <v>459</v>
      </c>
      <c r="D162" s="280" t="s">
        <v>522</v>
      </c>
      <c r="E162" s="291">
        <f ca="1">IF(D162="","",(VLOOKUP($D162,master_food_list,'Master Food List'!N$91,FALSE)))</f>
        <v>300</v>
      </c>
      <c r="F162" s="291">
        <f ca="1">IF(E162="","",(VLOOKUP($D162,master_food_list,'Master Food List'!O$91,FALSE)))</f>
        <v>26</v>
      </c>
      <c r="G162" s="291">
        <f ca="1">IF(F162="","",(VLOOKUP($D162,master_food_list,'Master Food List'!P$91,FALSE)))</f>
        <v>4</v>
      </c>
      <c r="H162" s="291">
        <f ca="1">IF(G162="","",(VLOOKUP($D162,master_food_list,'Master Food List'!Q$91,FALSE)))</f>
        <v>20</v>
      </c>
      <c r="I162" s="291">
        <f ca="1">IF(H162="","",(VLOOKUP($D162,master_food_list,'Master Food List'!R$91,FALSE)))</f>
        <v>500</v>
      </c>
      <c r="J162" s="291">
        <f ca="1">IF(I162="","",(VLOOKUP($D162,master_food_list,'Master Food List'!S$91,FALSE)))</f>
        <v>0</v>
      </c>
      <c r="K162" s="291">
        <f ca="1">IF(J162="","",(VLOOKUP($D162,master_food_list,'Master Food List'!T$91,FALSE)))</f>
        <v>154.28571428571428</v>
      </c>
    </row>
    <row r="163" spans="1:11" s="190" customFormat="1" ht="51" x14ac:dyDescent="0.2">
      <c r="A163" s="278">
        <v>22</v>
      </c>
      <c r="B163" s="279" t="s">
        <v>456</v>
      </c>
      <c r="C163" s="279" t="s">
        <v>458</v>
      </c>
      <c r="D163" s="281" t="s">
        <v>452</v>
      </c>
      <c r="E163" s="291">
        <f ca="1">IF(D163="","",(VLOOKUP($D163,master_food_list,'Master Food List'!N$91,FALSE)))</f>
        <v>620</v>
      </c>
      <c r="F163" s="291">
        <f ca="1">IF(E163="","",(VLOOKUP($D163,master_food_list,'Master Food List'!O$91,FALSE)))</f>
        <v>124</v>
      </c>
      <c r="G163" s="291">
        <f ca="1">IF(F163="","",(VLOOKUP($D163,master_food_list,'Master Food List'!P$91,FALSE)))</f>
        <v>22</v>
      </c>
      <c r="H163" s="291">
        <f ca="1">IF(G163="","",(VLOOKUP($D163,master_food_list,'Master Food List'!Q$91,FALSE)))</f>
        <v>7</v>
      </c>
      <c r="I163" s="291">
        <f ca="1">IF(H163="","",(VLOOKUP($D163,master_food_list,'Master Food List'!R$91,FALSE)))</f>
        <v>360</v>
      </c>
      <c r="J163" s="291">
        <f ca="1">IF(I163="","",(VLOOKUP($D163,master_food_list,'Master Food List'!S$91,FALSE)))</f>
        <v>0</v>
      </c>
      <c r="K163" s="291">
        <f ca="1">IF(J163="","",(VLOOKUP($D163,master_food_list,'Master Food List'!T$91,FALSE)))</f>
        <v>103.33333333333333</v>
      </c>
    </row>
    <row r="164" spans="1:11" s="190" customFormat="1" ht="51" x14ac:dyDescent="0.2">
      <c r="A164" s="278">
        <v>22</v>
      </c>
      <c r="B164" s="279" t="s">
        <v>456</v>
      </c>
      <c r="C164" s="279" t="s">
        <v>457</v>
      </c>
      <c r="D164" s="281"/>
      <c r="E164" s="291" t="str">
        <f>IF(D164="","",(VLOOKUP($D164,master_food_list,'Master Food List'!N$91,FALSE)))</f>
        <v/>
      </c>
      <c r="F164" s="291" t="str">
        <f>IF(E164="","",(VLOOKUP($D164,master_food_list,'Master Food List'!O$91,FALSE)))</f>
        <v/>
      </c>
      <c r="G164" s="291" t="str">
        <f>IF(F164="","",(VLOOKUP($D164,master_food_list,'Master Food List'!P$91,FALSE)))</f>
        <v/>
      </c>
      <c r="H164" s="291" t="str">
        <f>IF(G164="","",(VLOOKUP($D164,master_food_list,'Master Food List'!Q$91,FALSE)))</f>
        <v/>
      </c>
      <c r="I164" s="291" t="str">
        <f>IF(H164="","",(VLOOKUP($D164,master_food_list,'Master Food List'!R$91,FALSE)))</f>
        <v/>
      </c>
      <c r="J164" s="291" t="str">
        <f>IF(I164="","",(VLOOKUP($D164,master_food_list,'Master Food List'!S$91,FALSE)))</f>
        <v/>
      </c>
      <c r="K164" s="291" t="str">
        <f>IF(J164="","",(VLOOKUP($D164,master_food_list,'Master Food List'!T$91,FALSE)))</f>
        <v/>
      </c>
    </row>
    <row r="165" spans="1:11" s="190" customFormat="1" ht="51" x14ac:dyDescent="0.2">
      <c r="A165" s="278">
        <v>22</v>
      </c>
      <c r="B165" s="279" t="s">
        <v>456</v>
      </c>
      <c r="C165" s="279" t="s">
        <v>455</v>
      </c>
      <c r="D165" s="281" t="s">
        <v>482</v>
      </c>
      <c r="E165" s="291">
        <f ca="1">IF(D165="","",(VLOOKUP($D165,master_food_list,'Master Food List'!N$91,FALSE)))</f>
        <v>110</v>
      </c>
      <c r="F165" s="291">
        <f ca="1">IF(E165="","",(VLOOKUP($D165,master_food_list,'Master Food List'!O$91,FALSE)))</f>
        <v>21</v>
      </c>
      <c r="G165" s="291">
        <f ca="1">IF(F165="","",(VLOOKUP($D165,master_food_list,'Master Food List'!P$91,FALSE)))</f>
        <v>1</v>
      </c>
      <c r="H165" s="291">
        <f ca="1">IF(G165="","",(VLOOKUP($D165,master_food_list,'Master Food List'!Q$91,FALSE)))</f>
        <v>2</v>
      </c>
      <c r="I165" s="291">
        <f ca="1">IF(H165="","",(VLOOKUP($D165,master_food_list,'Master Food List'!R$91,FALSE)))</f>
        <v>150</v>
      </c>
      <c r="J165" s="291">
        <f ca="1">IF(I165="","",(VLOOKUP($D165,master_food_list,'Master Food List'!S$91,FALSE)))</f>
        <v>0</v>
      </c>
      <c r="K165" s="291">
        <f ca="1">IF(J165="","",(VLOOKUP($D165,master_food_list,'Master Food List'!T$91,FALSE)))</f>
        <v>118.27956989247312</v>
      </c>
    </row>
    <row r="166" spans="1:11" s="189" customFormat="1" ht="51" x14ac:dyDescent="0.2">
      <c r="A166" s="282">
        <v>23</v>
      </c>
      <c r="B166" s="283" t="s">
        <v>456</v>
      </c>
      <c r="C166" s="283" t="s">
        <v>462</v>
      </c>
      <c r="D166" s="284" t="s">
        <v>480</v>
      </c>
      <c r="E166" s="292">
        <f ca="1">IF(D166="","",(VLOOKUP($D166,master_food_list,'Master Food List'!N$91,FALSE)))</f>
        <v>620</v>
      </c>
      <c r="F166" s="292">
        <f ca="1">IF(E166="","",(VLOOKUP($D166,master_food_list,'Master Food List'!O$91,FALSE)))</f>
        <v>74</v>
      </c>
      <c r="G166" s="292">
        <f ca="1">IF(F166="","",(VLOOKUP($D166,master_food_list,'Master Food List'!P$91,FALSE)))</f>
        <v>16</v>
      </c>
      <c r="H166" s="292">
        <f ca="1">IF(G166="","",(VLOOKUP($D166,master_food_list,'Master Food List'!Q$91,FALSE)))</f>
        <v>31</v>
      </c>
      <c r="I166" s="292">
        <f ca="1">IF(H166="","",(VLOOKUP($D166,master_food_list,'Master Food List'!R$91,FALSE)))</f>
        <v>280</v>
      </c>
      <c r="J166" s="292">
        <f ca="1">IF(I166="","",(VLOOKUP($D166,master_food_list,'Master Food List'!S$91,FALSE)))</f>
        <v>0</v>
      </c>
      <c r="K166" s="292">
        <f ca="1">IF(J166="","",(VLOOKUP($D166,master_food_list,'Master Food List'!T$91,FALSE)))</f>
        <v>130.52631578947367</v>
      </c>
    </row>
    <row r="167" spans="1:11" s="189" customFormat="1" ht="51" x14ac:dyDescent="0.2">
      <c r="A167" s="282">
        <v>23</v>
      </c>
      <c r="B167" s="283" t="s">
        <v>456</v>
      </c>
      <c r="C167" s="283" t="s">
        <v>461</v>
      </c>
      <c r="D167" s="284" t="s">
        <v>430</v>
      </c>
      <c r="E167" s="292">
        <f ca="1">IF(D167="","",(VLOOKUP($D167,master_food_list,'Master Food List'!N$91,FALSE)))</f>
        <v>510</v>
      </c>
      <c r="F167" s="292">
        <f ca="1">IF(E167="","",(VLOOKUP($D167,master_food_list,'Master Food List'!O$91,FALSE)))</f>
        <v>42</v>
      </c>
      <c r="G167" s="292">
        <f ca="1">IF(F167="","",(VLOOKUP($D167,master_food_list,'Master Food List'!P$91,FALSE)))</f>
        <v>10.5</v>
      </c>
      <c r="H167" s="292">
        <f ca="1">IF(G167="","",(VLOOKUP($D167,master_food_list,'Master Food List'!Q$91,FALSE)))</f>
        <v>33</v>
      </c>
      <c r="I167" s="292">
        <f ca="1">IF(H167="","",(VLOOKUP($D167,master_food_list,'Master Food List'!R$91,FALSE)))</f>
        <v>75</v>
      </c>
      <c r="J167" s="292">
        <f ca="1">IF(I167="","",(VLOOKUP($D167,master_food_list,'Master Food List'!S$91,FALSE)))</f>
        <v>0</v>
      </c>
      <c r="K167" s="292">
        <f ca="1">IF(J167="","",(VLOOKUP($D167,master_food_list,'Master Food List'!T$91,FALSE)))</f>
        <v>170</v>
      </c>
    </row>
    <row r="168" spans="1:11" s="189" customFormat="1" ht="51" x14ac:dyDescent="0.2">
      <c r="A168" s="282">
        <v>23</v>
      </c>
      <c r="B168" s="283" t="s">
        <v>456</v>
      </c>
      <c r="C168" s="283" t="s">
        <v>460</v>
      </c>
      <c r="D168" s="285"/>
      <c r="E168" s="292" t="str">
        <f>IF(D168="","",(VLOOKUP($D168,master_food_list,'Master Food List'!N$91,FALSE)))</f>
        <v/>
      </c>
      <c r="F168" s="292" t="str">
        <f>IF(E168="","",(VLOOKUP($D168,master_food_list,'Master Food List'!O$91,FALSE)))</f>
        <v/>
      </c>
      <c r="G168" s="292" t="str">
        <f>IF(F168="","",(VLOOKUP($D168,master_food_list,'Master Food List'!P$91,FALSE)))</f>
        <v/>
      </c>
      <c r="H168" s="292" t="str">
        <f>IF(G168="","",(VLOOKUP($D168,master_food_list,'Master Food List'!Q$91,FALSE)))</f>
        <v/>
      </c>
      <c r="I168" s="292" t="str">
        <f>IF(H168="","",(VLOOKUP($D168,master_food_list,'Master Food List'!R$91,FALSE)))</f>
        <v/>
      </c>
      <c r="J168" s="292" t="str">
        <f>IF(I168="","",(VLOOKUP($D168,master_food_list,'Master Food List'!S$91,FALSE)))</f>
        <v/>
      </c>
      <c r="K168" s="292" t="str">
        <f>IF(J168="","",(VLOOKUP($D168,master_food_list,'Master Food List'!T$91,FALSE)))</f>
        <v/>
      </c>
    </row>
    <row r="169" spans="1:11" s="189" customFormat="1" ht="51" x14ac:dyDescent="0.2">
      <c r="A169" s="282">
        <v>23</v>
      </c>
      <c r="B169" s="283" t="s">
        <v>456</v>
      </c>
      <c r="C169" s="283" t="s">
        <v>459</v>
      </c>
      <c r="D169" s="284" t="s">
        <v>347</v>
      </c>
      <c r="E169" s="292">
        <f ca="1">IF(D169="","",(VLOOKUP($D169,master_food_list,'Master Food List'!N$91,FALSE)))</f>
        <v>665</v>
      </c>
      <c r="F169" s="292">
        <f ca="1">IF(E169="","",(VLOOKUP($D169,master_food_list,'Master Food List'!O$91,FALSE)))</f>
        <v>0</v>
      </c>
      <c r="G169" s="292">
        <f ca="1">IF(F169="","",(VLOOKUP($D169,master_food_list,'Master Food List'!P$91,FALSE)))</f>
        <v>35</v>
      </c>
      <c r="H169" s="292">
        <f ca="1">IF(G169="","",(VLOOKUP($D169,master_food_list,'Master Food List'!Q$91,FALSE)))</f>
        <v>56</v>
      </c>
      <c r="I169" s="292">
        <f ca="1">IF(H169="","",(VLOOKUP($D169,master_food_list,'Master Food List'!R$91,FALSE)))</f>
        <v>2415</v>
      </c>
      <c r="J169" s="292">
        <f ca="1">IF(I169="","",(VLOOKUP($D169,master_food_list,'Master Food List'!S$91,FALSE)))</f>
        <v>0</v>
      </c>
      <c r="K169" s="292">
        <f ca="1">IF(J169="","",(VLOOKUP($D169,master_food_list,'Master Food List'!T$91,FALSE)))</f>
        <v>180.70652173913044</v>
      </c>
    </row>
    <row r="170" spans="1:11" s="189" customFormat="1" ht="51" x14ac:dyDescent="0.2">
      <c r="A170" s="282">
        <v>23</v>
      </c>
      <c r="B170" s="283" t="s">
        <v>456</v>
      </c>
      <c r="C170" s="283" t="s">
        <v>458</v>
      </c>
      <c r="D170" s="285" t="s">
        <v>486</v>
      </c>
      <c r="E170" s="292">
        <f ca="1">IF(D170="","",(VLOOKUP($D170,master_food_list,'Master Food List'!N$91,FALSE)))</f>
        <v>960</v>
      </c>
      <c r="F170" s="292">
        <f ca="1">IF(E170="","",(VLOOKUP($D170,master_food_list,'Master Food List'!O$91,FALSE)))</f>
        <v>178</v>
      </c>
      <c r="G170" s="292">
        <f ca="1">IF(F170="","",(VLOOKUP($D170,master_food_list,'Master Food List'!P$91,FALSE)))</f>
        <v>34</v>
      </c>
      <c r="H170" s="292">
        <f ca="1">IF(G170="","",(VLOOKUP($D170,master_food_list,'Master Food List'!Q$91,FALSE)))</f>
        <v>12</v>
      </c>
      <c r="I170" s="292">
        <f ca="1">IF(H170="","",(VLOOKUP($D170,master_food_list,'Master Food List'!R$91,FALSE)))</f>
        <v>1620</v>
      </c>
      <c r="J170" s="292">
        <f ca="1">IF(I170="","",(VLOOKUP($D170,master_food_list,'Master Food List'!S$91,FALSE)))</f>
        <v>0</v>
      </c>
      <c r="K170" s="292">
        <f ca="1">IF(J170="","",(VLOOKUP($D170,master_food_list,'Master Food List'!T$91,FALSE)))</f>
        <v>109.09090909090908</v>
      </c>
    </row>
    <row r="171" spans="1:11" s="189" customFormat="1" ht="51" x14ac:dyDescent="0.2">
      <c r="A171" s="282">
        <v>23</v>
      </c>
      <c r="B171" s="283" t="s">
        <v>456</v>
      </c>
      <c r="C171" s="283" t="s">
        <v>457</v>
      </c>
      <c r="D171" s="285" t="s">
        <v>479</v>
      </c>
      <c r="E171" s="292">
        <f ca="1">IF(D171="","",(VLOOKUP($D171,master_food_list,'Master Food List'!N$91,FALSE)))</f>
        <v>300</v>
      </c>
      <c r="F171" s="292">
        <f ca="1">IF(E171="","",(VLOOKUP($D171,master_food_list,'Master Food List'!O$91,FALSE)))</f>
        <v>10.5</v>
      </c>
      <c r="G171" s="292">
        <f ca="1">IF(F171="","",(VLOOKUP($D171,master_food_list,'Master Food List'!P$91,FALSE)))</f>
        <v>10.5</v>
      </c>
      <c r="H171" s="292">
        <f ca="1">IF(G171="","",(VLOOKUP($D171,master_food_list,'Master Food List'!Q$91,FALSE)))</f>
        <v>25.5</v>
      </c>
      <c r="I171" s="292">
        <f ca="1">IF(H171="","",(VLOOKUP($D171,master_food_list,'Master Food List'!R$91,FALSE)))</f>
        <v>150</v>
      </c>
      <c r="J171" s="292">
        <f ca="1">IF(I171="","",(VLOOKUP($D171,master_food_list,'Master Food List'!S$91,FALSE)))</f>
        <v>0</v>
      </c>
      <c r="K171" s="292">
        <f ca="1">IF(J171="","",(VLOOKUP($D171,master_food_list,'Master Food List'!T$91,FALSE)))</f>
        <v>177.77777777777777</v>
      </c>
    </row>
    <row r="172" spans="1:11" s="189" customFormat="1" ht="51" x14ac:dyDescent="0.2">
      <c r="A172" s="282">
        <v>23</v>
      </c>
      <c r="B172" s="283" t="s">
        <v>456</v>
      </c>
      <c r="C172" s="283" t="s">
        <v>455</v>
      </c>
      <c r="D172" s="285" t="s">
        <v>313</v>
      </c>
      <c r="E172" s="292">
        <f ca="1">IF(D172="","",(VLOOKUP($D172,master_food_list,'Master Food List'!N$91,FALSE)))</f>
        <v>170</v>
      </c>
      <c r="F172" s="292">
        <f ca="1">IF(E172="","",(VLOOKUP($D172,master_food_list,'Master Food List'!O$91,FALSE)))</f>
        <v>28</v>
      </c>
      <c r="G172" s="292">
        <f ca="1">IF(F172="","",(VLOOKUP($D172,master_food_list,'Master Food List'!P$91,FALSE)))</f>
        <v>2</v>
      </c>
      <c r="H172" s="292">
        <f ca="1">IF(G172="","",(VLOOKUP($D172,master_food_list,'Master Food List'!Q$91,FALSE)))</f>
        <v>6</v>
      </c>
      <c r="I172" s="292">
        <f ca="1">IF(H172="","",(VLOOKUP($D172,master_food_list,'Master Food List'!R$91,FALSE)))</f>
        <v>135</v>
      </c>
      <c r="J172" s="292">
        <f ca="1">IF(I172="","",(VLOOKUP($D172,master_food_list,'Master Food List'!S$91,FALSE)))</f>
        <v>0</v>
      </c>
      <c r="K172" s="292">
        <f ca="1">IF(J172="","",(VLOOKUP($D172,master_food_list,'Master Food List'!T$91,FALSE)))</f>
        <v>150.44247787610621</v>
      </c>
    </row>
    <row r="173" spans="1:11" customFormat="1" ht="51" x14ac:dyDescent="0.2">
      <c r="A173" s="286">
        <v>24</v>
      </c>
      <c r="B173" s="287" t="s">
        <v>456</v>
      </c>
      <c r="C173" s="287" t="s">
        <v>462</v>
      </c>
      <c r="D173" s="288" t="s">
        <v>485</v>
      </c>
      <c r="E173" s="293">
        <f ca="1">IF(D173="","",(VLOOKUP($D173,master_food_list,'Master Food List'!N$91,FALSE)))</f>
        <v>500</v>
      </c>
      <c r="F173" s="293">
        <f ca="1">IF(E173="","",(VLOOKUP($D173,master_food_list,'Master Food List'!O$91,FALSE)))</f>
        <v>74</v>
      </c>
      <c r="G173" s="293">
        <f ca="1">IF(F173="","",(VLOOKUP($D173,master_food_list,'Master Food List'!P$91,FALSE)))</f>
        <v>16</v>
      </c>
      <c r="H173" s="293">
        <f ca="1">IF(G173="","",(VLOOKUP($D173,master_food_list,'Master Food List'!Q$91,FALSE)))</f>
        <v>18</v>
      </c>
      <c r="I173" s="293">
        <f ca="1">IF(H173="","",(VLOOKUP($D173,master_food_list,'Master Food List'!R$91,FALSE)))</f>
        <v>130</v>
      </c>
      <c r="J173" s="293">
        <f ca="1">IF(I173="","",(VLOOKUP($D173,master_food_list,'Master Food List'!S$91,FALSE)))</f>
        <v>0</v>
      </c>
      <c r="K173" s="293">
        <f ca="1">IF(J173="","",(VLOOKUP($D173,master_food_list,'Master Food List'!T$91,FALSE)))</f>
        <v>126.55024044545685</v>
      </c>
    </row>
    <row r="174" spans="1:11" customFormat="1" ht="51" x14ac:dyDescent="0.2">
      <c r="A174" s="286">
        <v>24</v>
      </c>
      <c r="B174" s="287" t="s">
        <v>456</v>
      </c>
      <c r="C174" s="287" t="s">
        <v>461</v>
      </c>
      <c r="D174" s="288" t="s">
        <v>433</v>
      </c>
      <c r="E174" s="293">
        <f ca="1">IF(D174="","",(VLOOKUP($D174,master_food_list,'Master Food List'!N$91,FALSE)))</f>
        <v>280</v>
      </c>
      <c r="F174" s="293">
        <f ca="1">IF(E174="","",(VLOOKUP($D174,master_food_list,'Master Food List'!O$91,FALSE)))</f>
        <v>34</v>
      </c>
      <c r="G174" s="293">
        <f ca="1">IF(F174="","",(VLOOKUP($D174,master_food_list,'Master Food List'!P$91,FALSE)))</f>
        <v>2</v>
      </c>
      <c r="H174" s="293">
        <f ca="1">IF(G174="","",(VLOOKUP($D174,master_food_list,'Master Food List'!Q$91,FALSE)))</f>
        <v>17</v>
      </c>
      <c r="I174" s="293">
        <f ca="1">IF(H174="","",(VLOOKUP($D174,master_food_list,'Master Food List'!R$91,FALSE)))</f>
        <v>0</v>
      </c>
      <c r="J174" s="293">
        <f ca="1">IF(I174="","",(VLOOKUP($D174,master_food_list,'Master Food List'!S$91,FALSE)))</f>
        <v>0</v>
      </c>
      <c r="K174" s="293">
        <f ca="1">IF(J174="","",(VLOOKUP($D174,master_food_list,'Master Food List'!T$91,FALSE)))</f>
        <v>140</v>
      </c>
    </row>
    <row r="175" spans="1:11" customFormat="1" ht="51" x14ac:dyDescent="0.2">
      <c r="A175" s="286">
        <v>24</v>
      </c>
      <c r="B175" s="287" t="s">
        <v>456</v>
      </c>
      <c r="C175" s="287" t="s">
        <v>460</v>
      </c>
      <c r="D175" s="289"/>
      <c r="E175" s="293" t="str">
        <f>IF(D175="","",(VLOOKUP($D175,master_food_list,'Master Food List'!N$91,FALSE)))</f>
        <v/>
      </c>
      <c r="F175" s="293" t="str">
        <f>IF(E175="","",(VLOOKUP($D175,master_food_list,'Master Food List'!O$91,FALSE)))</f>
        <v/>
      </c>
      <c r="G175" s="293" t="str">
        <f>IF(F175="","",(VLOOKUP($D175,master_food_list,'Master Food List'!P$91,FALSE)))</f>
        <v/>
      </c>
      <c r="H175" s="293" t="str">
        <f>IF(G175="","",(VLOOKUP($D175,master_food_list,'Master Food List'!Q$91,FALSE)))</f>
        <v/>
      </c>
      <c r="I175" s="293" t="str">
        <f>IF(H175="","",(VLOOKUP($D175,master_food_list,'Master Food List'!R$91,FALSE)))</f>
        <v/>
      </c>
      <c r="J175" s="293" t="str">
        <f>IF(I175="","",(VLOOKUP($D175,master_food_list,'Master Food List'!S$91,FALSE)))</f>
        <v/>
      </c>
      <c r="K175" s="293" t="str">
        <f>IF(J175="","",(VLOOKUP($D175,master_food_list,'Master Food List'!T$91,FALSE)))</f>
        <v/>
      </c>
    </row>
    <row r="176" spans="1:11" customFormat="1" ht="51" x14ac:dyDescent="0.2">
      <c r="A176" s="286">
        <v>24</v>
      </c>
      <c r="B176" s="287" t="s">
        <v>456</v>
      </c>
      <c r="C176" s="287" t="s">
        <v>459</v>
      </c>
      <c r="D176" s="288" t="s">
        <v>396</v>
      </c>
      <c r="E176" s="293">
        <f ca="1">IF(D176="","",(VLOOKUP($D176,master_food_list,'Master Food List'!N$91,FALSE)))</f>
        <v>270</v>
      </c>
      <c r="F176" s="293">
        <f ca="1">IF(E176="","",(VLOOKUP($D176,master_food_list,'Master Food List'!O$91,FALSE)))</f>
        <v>30</v>
      </c>
      <c r="G176" s="293">
        <f ca="1">IF(F176="","",(VLOOKUP($D176,master_food_list,'Master Food List'!P$91,FALSE)))</f>
        <v>20</v>
      </c>
      <c r="H176" s="293">
        <f ca="1">IF(G176="","",(VLOOKUP($D176,master_food_list,'Master Food List'!Q$91,FALSE)))</f>
        <v>9</v>
      </c>
      <c r="I176" s="293">
        <f ca="1">IF(H176="","",(VLOOKUP($D176,master_food_list,'Master Food List'!R$91,FALSE)))</f>
        <v>200</v>
      </c>
      <c r="J176" s="293">
        <f ca="1">IF(I176="","",(VLOOKUP($D176,master_food_list,'Master Food List'!S$91,FALSE)))</f>
        <v>0</v>
      </c>
      <c r="K176" s="293">
        <f ca="1">IF(J176="","",(VLOOKUP($D176,master_food_list,'Master Food List'!T$91,FALSE)))</f>
        <v>112.5</v>
      </c>
    </row>
    <row r="177" spans="1:14" customFormat="1" ht="51" x14ac:dyDescent="0.2">
      <c r="A177" s="286">
        <v>24</v>
      </c>
      <c r="B177" s="287" t="s">
        <v>456</v>
      </c>
      <c r="C177" s="287" t="s">
        <v>458</v>
      </c>
      <c r="D177" s="289" t="s">
        <v>503</v>
      </c>
      <c r="E177" s="293">
        <f ca="1">IF(D177="","",(VLOOKUP($D177,master_food_list,'Master Food List'!N$91,FALSE)))</f>
        <v>880</v>
      </c>
      <c r="F177" s="293">
        <f ca="1">IF(E177="","",(VLOOKUP($D177,master_food_list,'Master Food List'!O$91,FALSE)))</f>
        <v>122</v>
      </c>
      <c r="G177" s="293">
        <f ca="1">IF(F177="","",(VLOOKUP($D177,master_food_list,'Master Food List'!P$91,FALSE)))</f>
        <v>36</v>
      </c>
      <c r="H177" s="293">
        <f ca="1">IF(G177="","",(VLOOKUP($D177,master_food_list,'Master Food List'!Q$91,FALSE)))</f>
        <v>36</v>
      </c>
      <c r="I177" s="293">
        <f ca="1">IF(H177="","",(VLOOKUP($D177,master_food_list,'Master Food List'!R$91,FALSE)))</f>
        <v>920</v>
      </c>
      <c r="J177" s="293">
        <f ca="1">IF(I177="","",(VLOOKUP($D177,master_food_list,'Master Food List'!S$91,FALSE)))</f>
        <v>0</v>
      </c>
      <c r="K177" s="293">
        <f ca="1">IF(J177="","",(VLOOKUP($D177,master_food_list,'Master Food List'!T$91,FALSE)))</f>
        <v>110</v>
      </c>
    </row>
    <row r="178" spans="1:14" customFormat="1" ht="51" x14ac:dyDescent="0.2">
      <c r="A178" s="286">
        <v>24</v>
      </c>
      <c r="B178" s="287" t="s">
        <v>456</v>
      </c>
      <c r="C178" s="287" t="s">
        <v>457</v>
      </c>
      <c r="D178" s="289" t="s">
        <v>479</v>
      </c>
      <c r="E178" s="293">
        <f ca="1">IF(D178="","",(VLOOKUP($D178,master_food_list,'Master Food List'!N$91,FALSE)))</f>
        <v>300</v>
      </c>
      <c r="F178" s="293">
        <f ca="1">IF(E178="","",(VLOOKUP($D178,master_food_list,'Master Food List'!O$91,FALSE)))</f>
        <v>10.5</v>
      </c>
      <c r="G178" s="293">
        <f ca="1">IF(F178="","",(VLOOKUP($D178,master_food_list,'Master Food List'!P$91,FALSE)))</f>
        <v>10.5</v>
      </c>
      <c r="H178" s="293">
        <f ca="1">IF(G178="","",(VLOOKUP($D178,master_food_list,'Master Food List'!Q$91,FALSE)))</f>
        <v>25.5</v>
      </c>
      <c r="I178" s="293">
        <f ca="1">IF(H178="","",(VLOOKUP($D178,master_food_list,'Master Food List'!R$91,FALSE)))</f>
        <v>150</v>
      </c>
      <c r="J178" s="293">
        <f ca="1">IF(I178="","",(VLOOKUP($D178,master_food_list,'Master Food List'!S$91,FALSE)))</f>
        <v>0</v>
      </c>
      <c r="K178" s="293">
        <f ca="1">IF(J178="","",(VLOOKUP($D178,master_food_list,'Master Food List'!T$91,FALSE)))</f>
        <v>177.77777777777777</v>
      </c>
    </row>
    <row r="179" spans="1:14" customFormat="1" ht="51" x14ac:dyDescent="0.2">
      <c r="A179" s="286">
        <v>24</v>
      </c>
      <c r="B179" s="287" t="s">
        <v>456</v>
      </c>
      <c r="C179" s="287" t="s">
        <v>455</v>
      </c>
      <c r="D179" s="289" t="s">
        <v>484</v>
      </c>
      <c r="E179" s="293">
        <f ca="1">IF(D179="","",(VLOOKUP($D179,master_food_list,'Master Food List'!N$91,FALSE)))</f>
        <v>540</v>
      </c>
      <c r="F179" s="293">
        <f ca="1">IF(E179="","",(VLOOKUP($D179,master_food_list,'Master Food List'!O$91,FALSE)))</f>
        <v>72</v>
      </c>
      <c r="G179" s="293">
        <f ca="1">IF(F179="","",(VLOOKUP($D179,master_food_list,'Master Food List'!P$91,FALSE)))</f>
        <v>14</v>
      </c>
      <c r="H179" s="293">
        <f ca="1">IF(G179="","",(VLOOKUP($D179,master_food_list,'Master Food List'!Q$91,FALSE)))</f>
        <v>22</v>
      </c>
      <c r="I179" s="293">
        <f ca="1">IF(H179="","",(VLOOKUP($D179,master_food_list,'Master Food List'!R$91,FALSE)))</f>
        <v>780</v>
      </c>
      <c r="J179" s="293">
        <f ca="1">IF(I179="","",(VLOOKUP($D179,master_food_list,'Master Food List'!S$91,FALSE)))</f>
        <v>0</v>
      </c>
      <c r="K179" s="293">
        <f ca="1">IF(J179="","",(VLOOKUP($D179,master_food_list,'Master Food List'!T$91,FALSE)))</f>
        <v>117.39130434782609</v>
      </c>
    </row>
    <row r="180" spans="1:14" customFormat="1" ht="51" x14ac:dyDescent="0.2">
      <c r="A180" s="286">
        <v>25</v>
      </c>
      <c r="B180" s="287" t="s">
        <v>456</v>
      </c>
      <c r="C180" s="287" t="s">
        <v>462</v>
      </c>
      <c r="D180" s="288" t="s">
        <v>481</v>
      </c>
      <c r="E180" s="293">
        <f ca="1">IF(D180="","",(VLOOKUP($D180,master_food_list,'Master Food List'!N$91,FALSE)))</f>
        <v>400</v>
      </c>
      <c r="F180" s="293">
        <f ca="1">IF(E180="","",(VLOOKUP($D180,master_food_list,'Master Food List'!O$91,FALSE)))</f>
        <v>72</v>
      </c>
      <c r="G180" s="293">
        <f ca="1">IF(F180="","",(VLOOKUP($D180,master_food_list,'Master Food List'!P$91,FALSE)))</f>
        <v>6</v>
      </c>
      <c r="H180" s="293">
        <f ca="1">IF(G180="","",(VLOOKUP($D180,master_food_list,'Master Food List'!Q$91,FALSE)))</f>
        <v>10</v>
      </c>
      <c r="I180" s="293">
        <f ca="1">IF(H180="","",(VLOOKUP($D180,master_food_list,'Master Food List'!R$91,FALSE)))</f>
        <v>420</v>
      </c>
      <c r="J180" s="293">
        <f ca="1">IF(I180="","",(VLOOKUP($D180,master_food_list,'Master Food List'!S$91,FALSE)))</f>
        <v>0</v>
      </c>
      <c r="K180" s="293">
        <f ca="1">IF(J180="","",(VLOOKUP($D180,master_food_list,'Master Food List'!T$91,FALSE)))</f>
        <v>109.09090909090909</v>
      </c>
    </row>
    <row r="181" spans="1:14" customFormat="1" ht="51" x14ac:dyDescent="0.2">
      <c r="A181" s="286">
        <v>25</v>
      </c>
      <c r="B181" s="287" t="s">
        <v>456</v>
      </c>
      <c r="C181" s="287" t="s">
        <v>461</v>
      </c>
      <c r="D181" s="288" t="s">
        <v>333</v>
      </c>
      <c r="E181" s="293">
        <f ca="1">IF(D181="","",(VLOOKUP($D181,master_food_list,'Master Food List'!N$91,FALSE)))</f>
        <v>325</v>
      </c>
      <c r="F181" s="293">
        <f ca="1">IF(E181="","",(VLOOKUP($D181,master_food_list,'Master Food List'!O$91,FALSE)))</f>
        <v>40</v>
      </c>
      <c r="G181" s="293">
        <f ca="1">IF(F181="","",(VLOOKUP($D181,master_food_list,'Master Food List'!P$91,FALSE)))</f>
        <v>2.5</v>
      </c>
      <c r="H181" s="293">
        <f ca="1">IF(G181="","",(VLOOKUP($D181,master_food_list,'Master Food List'!Q$91,FALSE)))</f>
        <v>17.5</v>
      </c>
      <c r="I181" s="293">
        <f ca="1">IF(H181="","",(VLOOKUP($D181,master_food_list,'Master Food List'!R$91,FALSE)))</f>
        <v>25</v>
      </c>
      <c r="J181" s="293">
        <f ca="1">IF(I181="","",(VLOOKUP($D181,master_food_list,'Master Food List'!S$91,FALSE)))</f>
        <v>0</v>
      </c>
      <c r="K181" s="293">
        <f ca="1">IF(J181="","",(VLOOKUP($D181,master_food_list,'Master Food List'!T$91,FALSE)))</f>
        <v>156.25</v>
      </c>
    </row>
    <row r="182" spans="1:14" customFormat="1" ht="51" x14ac:dyDescent="0.2">
      <c r="A182" s="286">
        <v>25</v>
      </c>
      <c r="B182" s="287" t="s">
        <v>456</v>
      </c>
      <c r="C182" s="287" t="s">
        <v>460</v>
      </c>
      <c r="D182" s="289"/>
      <c r="E182" s="293" t="str">
        <f>IF(D182="","",(VLOOKUP($D182,master_food_list,'Master Food List'!N$91,FALSE)))</f>
        <v/>
      </c>
      <c r="F182" s="293" t="str">
        <f>IF(E182="","",(VLOOKUP($D182,master_food_list,'Master Food List'!O$91,FALSE)))</f>
        <v/>
      </c>
      <c r="G182" s="293" t="str">
        <f>IF(F182="","",(VLOOKUP($D182,master_food_list,'Master Food List'!P$91,FALSE)))</f>
        <v/>
      </c>
      <c r="H182" s="293" t="str">
        <f>IF(G182="","",(VLOOKUP($D182,master_food_list,'Master Food List'!Q$91,FALSE)))</f>
        <v/>
      </c>
      <c r="I182" s="293" t="str">
        <f>IF(H182="","",(VLOOKUP($D182,master_food_list,'Master Food List'!R$91,FALSE)))</f>
        <v/>
      </c>
      <c r="J182" s="293" t="str">
        <f>IF(I182="","",(VLOOKUP($D182,master_food_list,'Master Food List'!S$91,FALSE)))</f>
        <v/>
      </c>
      <c r="K182" s="293" t="str">
        <f>IF(J182="","",(VLOOKUP($D182,master_food_list,'Master Food List'!T$91,FALSE)))</f>
        <v/>
      </c>
    </row>
    <row r="183" spans="1:14" customFormat="1" ht="51" x14ac:dyDescent="0.2">
      <c r="A183" s="286">
        <v>25</v>
      </c>
      <c r="B183" s="287" t="s">
        <v>456</v>
      </c>
      <c r="C183" s="287" t="s">
        <v>459</v>
      </c>
      <c r="D183" s="288" t="s">
        <v>522</v>
      </c>
      <c r="E183" s="293">
        <f ca="1">IF(D183="","",(VLOOKUP($D183,master_food_list,'Master Food List'!N$91,FALSE)))</f>
        <v>300</v>
      </c>
      <c r="F183" s="293">
        <f ca="1">IF(E183="","",(VLOOKUP($D183,master_food_list,'Master Food List'!O$91,FALSE)))</f>
        <v>26</v>
      </c>
      <c r="G183" s="293">
        <f ca="1">IF(F183="","",(VLOOKUP($D183,master_food_list,'Master Food List'!P$91,FALSE)))</f>
        <v>4</v>
      </c>
      <c r="H183" s="293">
        <f ca="1">IF(G183="","",(VLOOKUP($D183,master_food_list,'Master Food List'!Q$91,FALSE)))</f>
        <v>20</v>
      </c>
      <c r="I183" s="293">
        <f ca="1">IF(H183="","",(VLOOKUP($D183,master_food_list,'Master Food List'!R$91,FALSE)))</f>
        <v>500</v>
      </c>
      <c r="J183" s="293">
        <f ca="1">IF(I183="","",(VLOOKUP($D183,master_food_list,'Master Food List'!S$91,FALSE)))</f>
        <v>0</v>
      </c>
      <c r="K183" s="293">
        <f ca="1">IF(J183="","",(VLOOKUP($D183,master_food_list,'Master Food List'!T$91,FALSE)))</f>
        <v>154.28571428571428</v>
      </c>
    </row>
    <row r="184" spans="1:14" customFormat="1" ht="51" x14ac:dyDescent="0.2">
      <c r="A184" s="286">
        <v>25</v>
      </c>
      <c r="B184" s="287" t="s">
        <v>456</v>
      </c>
      <c r="C184" s="287" t="s">
        <v>458</v>
      </c>
      <c r="D184" s="289" t="s">
        <v>294</v>
      </c>
      <c r="E184" s="293">
        <f ca="1">IF(D184="","",(VLOOKUP($D184,master_food_list,'Master Food List'!N$91,FALSE)))</f>
        <v>960</v>
      </c>
      <c r="F184" s="293">
        <f ca="1">IF(E184="","",(VLOOKUP($D184,master_food_list,'Master Food List'!O$91,FALSE)))</f>
        <v>93</v>
      </c>
      <c r="G184" s="293">
        <f ca="1">IF(F184="","",(VLOOKUP($D184,master_food_list,'Master Food List'!P$91,FALSE)))</f>
        <v>39</v>
      </c>
      <c r="H184" s="293">
        <f ca="1">IF(G184="","",(VLOOKUP($D184,master_food_list,'Master Food List'!Q$91,FALSE)))</f>
        <v>45</v>
      </c>
      <c r="I184" s="293">
        <f ca="1">IF(H184="","",(VLOOKUP($D184,master_food_list,'Master Food List'!R$91,FALSE)))</f>
        <v>2040</v>
      </c>
      <c r="J184" s="293">
        <f ca="1">IF(I184="","",(VLOOKUP($D184,master_food_list,'Master Food List'!S$91,FALSE)))</f>
        <v>0</v>
      </c>
      <c r="K184" s="293">
        <f ca="1">IF(J184="","",(VLOOKUP($D184,master_food_list,'Master Food List'!T$91,FALSE)))</f>
        <v>141.03819784524975</v>
      </c>
      <c r="M184" s="202"/>
      <c r="N184" s="202"/>
    </row>
    <row r="185" spans="1:14" customFormat="1" ht="51" x14ac:dyDescent="0.2">
      <c r="A185" s="286">
        <v>25</v>
      </c>
      <c r="B185" s="287" t="s">
        <v>456</v>
      </c>
      <c r="C185" s="287" t="s">
        <v>457</v>
      </c>
      <c r="D185" s="289" t="s">
        <v>479</v>
      </c>
      <c r="E185" s="293">
        <f ca="1">IF(D185="","",(VLOOKUP($D185,master_food_list,'Master Food List'!N$91,FALSE)))</f>
        <v>300</v>
      </c>
      <c r="F185" s="293">
        <f ca="1">IF(E185="","",(VLOOKUP($D185,master_food_list,'Master Food List'!O$91,FALSE)))</f>
        <v>10.5</v>
      </c>
      <c r="G185" s="293">
        <f ca="1">IF(F185="","",(VLOOKUP($D185,master_food_list,'Master Food List'!P$91,FALSE)))</f>
        <v>10.5</v>
      </c>
      <c r="H185" s="293">
        <f ca="1">IF(G185="","",(VLOOKUP($D185,master_food_list,'Master Food List'!Q$91,FALSE)))</f>
        <v>25.5</v>
      </c>
      <c r="I185" s="293">
        <f ca="1">IF(H185="","",(VLOOKUP($D185,master_food_list,'Master Food List'!R$91,FALSE)))</f>
        <v>150</v>
      </c>
      <c r="J185" s="293">
        <f ca="1">IF(I185="","",(VLOOKUP($D185,master_food_list,'Master Food List'!S$91,FALSE)))</f>
        <v>0</v>
      </c>
      <c r="K185" s="293">
        <f ca="1">IF(J185="","",(VLOOKUP($D185,master_food_list,'Master Food List'!T$91,FALSE)))</f>
        <v>177.77777777777777</v>
      </c>
      <c r="M185" s="202"/>
      <c r="N185" s="202"/>
    </row>
    <row r="186" spans="1:14" customFormat="1" ht="51" x14ac:dyDescent="0.2">
      <c r="A186" s="286">
        <v>25</v>
      </c>
      <c r="B186" s="287" t="s">
        <v>456</v>
      </c>
      <c r="C186" s="287" t="s">
        <v>455</v>
      </c>
      <c r="D186" s="289" t="s">
        <v>505</v>
      </c>
      <c r="E186" s="293">
        <f ca="1">IF(D186="","",(VLOOKUP($D186,master_food_list,'Master Food List'!N$91,FALSE)))</f>
        <v>500</v>
      </c>
      <c r="F186" s="293">
        <f ca="1">IF(E186="","",(VLOOKUP($D186,master_food_list,'Master Food List'!O$91,FALSE)))</f>
        <v>108</v>
      </c>
      <c r="G186" s="293">
        <f ca="1">IF(F186="","",(VLOOKUP($D186,master_food_list,'Master Food List'!P$91,FALSE)))</f>
        <v>10</v>
      </c>
      <c r="H186" s="293">
        <f ca="1">IF(G186="","",(VLOOKUP($D186,master_food_list,'Master Food List'!Q$91,FALSE)))</f>
        <v>5</v>
      </c>
      <c r="I186" s="293">
        <f ca="1">IF(H186="","",(VLOOKUP($D186,master_food_list,'Master Food List'!R$91,FALSE)))</f>
        <v>680</v>
      </c>
      <c r="J186" s="293">
        <f ca="1">IF(I186="","",(VLOOKUP($D186,master_food_list,'Master Food List'!S$91,FALSE)))</f>
        <v>0</v>
      </c>
      <c r="K186" s="293">
        <f ca="1">IF(J186="","",(VLOOKUP($D186,master_food_list,'Master Food List'!T$91,FALSE)))</f>
        <v>111.11111111111111</v>
      </c>
      <c r="M186" s="202"/>
      <c r="N186" s="202"/>
    </row>
    <row r="187" spans="1:14" customFormat="1" ht="51" x14ac:dyDescent="0.2">
      <c r="A187" s="286">
        <v>26</v>
      </c>
      <c r="B187" s="287" t="s">
        <v>456</v>
      </c>
      <c r="C187" s="287" t="s">
        <v>462</v>
      </c>
      <c r="D187" s="288" t="s">
        <v>480</v>
      </c>
      <c r="E187" s="293">
        <f ca="1">IF(D187="","",(VLOOKUP($D187,master_food_list,'Master Food List'!N$91,FALSE)))</f>
        <v>620</v>
      </c>
      <c r="F187" s="293">
        <f ca="1">IF(E187="","",(VLOOKUP($D187,master_food_list,'Master Food List'!O$91,FALSE)))</f>
        <v>74</v>
      </c>
      <c r="G187" s="293">
        <f ca="1">IF(F187="","",(VLOOKUP($D187,master_food_list,'Master Food List'!P$91,FALSE)))</f>
        <v>16</v>
      </c>
      <c r="H187" s="293">
        <f ca="1">IF(G187="","",(VLOOKUP($D187,master_food_list,'Master Food List'!Q$91,FALSE)))</f>
        <v>31</v>
      </c>
      <c r="I187" s="293">
        <f ca="1">IF(H187="","",(VLOOKUP($D187,master_food_list,'Master Food List'!R$91,FALSE)))</f>
        <v>280</v>
      </c>
      <c r="J187" s="293">
        <f ca="1">IF(I187="","",(VLOOKUP($D187,master_food_list,'Master Food List'!S$91,FALSE)))</f>
        <v>0</v>
      </c>
      <c r="K187" s="293">
        <f ca="1">IF(J187="","",(VLOOKUP($D187,master_food_list,'Master Food List'!T$91,FALSE)))</f>
        <v>130.52631578947367</v>
      </c>
      <c r="M187" s="202"/>
      <c r="N187" s="202"/>
    </row>
    <row r="188" spans="1:14" customFormat="1" ht="51" x14ac:dyDescent="0.2">
      <c r="A188" s="286">
        <v>26</v>
      </c>
      <c r="B188" s="287" t="s">
        <v>456</v>
      </c>
      <c r="C188" s="287" t="s">
        <v>461</v>
      </c>
      <c r="D188" s="288" t="s">
        <v>414</v>
      </c>
      <c r="E188" s="293">
        <f ca="1">IF(D188="","",(VLOOKUP($D188,master_food_list,'Master Food List'!N$91,FALSE)))</f>
        <v>250</v>
      </c>
      <c r="F188" s="293">
        <f ca="1">IF(E188="","",(VLOOKUP($D188,master_food_list,'Master Food List'!O$91,FALSE)))</f>
        <v>33</v>
      </c>
      <c r="G188" s="293">
        <f ca="1">IF(F188="","",(VLOOKUP($D188,master_food_list,'Master Food List'!P$91,FALSE)))</f>
        <v>4</v>
      </c>
      <c r="H188" s="293">
        <f ca="1">IF(G188="","",(VLOOKUP($D188,master_food_list,'Master Food List'!Q$91,FALSE)))</f>
        <v>12</v>
      </c>
      <c r="I188" s="293">
        <f ca="1">IF(H188="","",(VLOOKUP($D188,master_food_list,'Master Food List'!R$91,FALSE)))</f>
        <v>120</v>
      </c>
      <c r="J188" s="293">
        <f ca="1">IF(I188="","",(VLOOKUP($D188,master_food_list,'Master Food List'!S$91,FALSE)))</f>
        <v>0</v>
      </c>
      <c r="K188" s="293">
        <f ca="1">IF(J188="","",(VLOOKUP($D188,master_food_list,'Master Food List'!T$91,FALSE)))</f>
        <v>134.40860215053763</v>
      </c>
      <c r="M188" s="202"/>
      <c r="N188" s="202"/>
    </row>
    <row r="189" spans="1:14" customFormat="1" ht="51" x14ac:dyDescent="0.2">
      <c r="A189" s="286">
        <v>26</v>
      </c>
      <c r="B189" s="287" t="s">
        <v>456</v>
      </c>
      <c r="C189" s="287" t="s">
        <v>460</v>
      </c>
      <c r="D189" s="289"/>
      <c r="E189" s="293" t="str">
        <f>IF(D189="","",(VLOOKUP($D189,master_food_list,'Master Food List'!N$91,FALSE)))</f>
        <v/>
      </c>
      <c r="F189" s="293" t="str">
        <f>IF(E189="","",(VLOOKUP($D189,master_food_list,'Master Food List'!O$91,FALSE)))</f>
        <v/>
      </c>
      <c r="G189" s="293" t="str">
        <f>IF(F189="","",(VLOOKUP($D189,master_food_list,'Master Food List'!P$91,FALSE)))</f>
        <v/>
      </c>
      <c r="H189" s="293" t="str">
        <f>IF(G189="","",(VLOOKUP($D189,master_food_list,'Master Food List'!Q$91,FALSE)))</f>
        <v/>
      </c>
      <c r="I189" s="293" t="str">
        <f>IF(H189="","",(VLOOKUP($D189,master_food_list,'Master Food List'!R$91,FALSE)))</f>
        <v/>
      </c>
      <c r="J189" s="293" t="str">
        <f>IF(I189="","",(VLOOKUP($D189,master_food_list,'Master Food List'!S$91,FALSE)))</f>
        <v/>
      </c>
      <c r="K189" s="293" t="str">
        <f>IF(J189="","",(VLOOKUP($D189,master_food_list,'Master Food List'!T$91,FALSE)))</f>
        <v/>
      </c>
      <c r="M189" s="202"/>
      <c r="N189" s="202"/>
    </row>
    <row r="190" spans="1:14" customFormat="1" ht="51" x14ac:dyDescent="0.2">
      <c r="A190" s="286">
        <v>26</v>
      </c>
      <c r="B190" s="287" t="s">
        <v>456</v>
      </c>
      <c r="C190" s="287" t="s">
        <v>459</v>
      </c>
      <c r="D190" s="288" t="s">
        <v>327</v>
      </c>
      <c r="E190" s="293">
        <f ca="1">IF(D190="","",(VLOOKUP($D190,master_food_list,'Master Food List'!N$91,FALSE)))</f>
        <v>130</v>
      </c>
      <c r="F190" s="293">
        <f ca="1">IF(E190="","",(VLOOKUP($D190,master_food_list,'Master Food List'!O$91,FALSE)))</f>
        <v>8</v>
      </c>
      <c r="G190" s="293">
        <f ca="1">IF(F190="","",(VLOOKUP($D190,master_food_list,'Master Food List'!P$91,FALSE)))</f>
        <v>7</v>
      </c>
      <c r="H190" s="293">
        <f ca="1">IF(G190="","",(VLOOKUP($D190,master_food_list,'Master Food List'!Q$91,FALSE)))</f>
        <v>8</v>
      </c>
      <c r="I190" s="293">
        <f ca="1">IF(H190="","",(VLOOKUP($D190,master_food_list,'Master Food List'!R$91,FALSE)))</f>
        <v>320</v>
      </c>
      <c r="J190" s="293">
        <f ca="1">IF(I190="","",(VLOOKUP($D190,master_food_list,'Master Food List'!S$91,FALSE)))</f>
        <v>0</v>
      </c>
      <c r="K190" s="293">
        <f ca="1">IF(J190="","",(VLOOKUP($D190,master_food_list,'Master Food List'!T$91,FALSE)))</f>
        <v>99.999999999999986</v>
      </c>
      <c r="M190" s="202"/>
      <c r="N190" s="202"/>
    </row>
    <row r="191" spans="1:14" customFormat="1" ht="51" x14ac:dyDescent="0.2">
      <c r="A191" s="286">
        <v>26</v>
      </c>
      <c r="B191" s="287" t="s">
        <v>456</v>
      </c>
      <c r="C191" s="287" t="s">
        <v>458</v>
      </c>
      <c r="D191" s="289" t="s">
        <v>449</v>
      </c>
      <c r="E191" s="293">
        <f ca="1">IF(D191="","",(VLOOKUP($D191,master_food_list,'Master Food List'!N$91,FALSE)))</f>
        <v>520</v>
      </c>
      <c r="F191" s="293">
        <f ca="1">IF(E191="","",(VLOOKUP($D191,master_food_list,'Master Food List'!O$91,FALSE)))</f>
        <v>104</v>
      </c>
      <c r="G191" s="293">
        <f ca="1">IF(F191="","",(VLOOKUP($D191,master_food_list,'Master Food List'!P$91,FALSE)))</f>
        <v>22</v>
      </c>
      <c r="H191" s="293">
        <f ca="1">IF(G191="","",(VLOOKUP($D191,master_food_list,'Master Food List'!Q$91,FALSE)))</f>
        <v>6</v>
      </c>
      <c r="I191" s="293">
        <f ca="1">IF(H191="","",(VLOOKUP($D191,master_food_list,'Master Food List'!R$91,FALSE)))</f>
        <v>1360</v>
      </c>
      <c r="J191" s="293">
        <f ca="1">IF(I191="","",(VLOOKUP($D191,master_food_list,'Master Food List'!S$91,FALSE)))</f>
        <v>0</v>
      </c>
      <c r="K191" s="293">
        <f ca="1">IF(J191="","",(VLOOKUP($D191,master_food_list,'Master Food List'!T$91,FALSE)))</f>
        <v>92.857142857142861</v>
      </c>
      <c r="M191" s="202"/>
      <c r="N191" s="202"/>
    </row>
    <row r="192" spans="1:14" customFormat="1" ht="51" x14ac:dyDescent="0.2">
      <c r="A192" s="286">
        <v>26</v>
      </c>
      <c r="B192" s="287" t="s">
        <v>456</v>
      </c>
      <c r="C192" s="287" t="s">
        <v>457</v>
      </c>
      <c r="D192" s="289" t="s">
        <v>479</v>
      </c>
      <c r="E192" s="293">
        <f ca="1">IF(D192="","",(VLOOKUP($D192,master_food_list,'Master Food List'!N$91,FALSE)))</f>
        <v>300</v>
      </c>
      <c r="F192" s="293">
        <f ca="1">IF(E192="","",(VLOOKUP($D192,master_food_list,'Master Food List'!O$91,FALSE)))</f>
        <v>10.5</v>
      </c>
      <c r="G192" s="293">
        <f ca="1">IF(F192="","",(VLOOKUP($D192,master_food_list,'Master Food List'!P$91,FALSE)))</f>
        <v>10.5</v>
      </c>
      <c r="H192" s="293">
        <f ca="1">IF(G192="","",(VLOOKUP($D192,master_food_list,'Master Food List'!Q$91,FALSE)))</f>
        <v>25.5</v>
      </c>
      <c r="I192" s="293">
        <f ca="1">IF(H192="","",(VLOOKUP($D192,master_food_list,'Master Food List'!R$91,FALSE)))</f>
        <v>150</v>
      </c>
      <c r="J192" s="293">
        <f ca="1">IF(I192="","",(VLOOKUP($D192,master_food_list,'Master Food List'!S$91,FALSE)))</f>
        <v>0</v>
      </c>
      <c r="K192" s="293">
        <f ca="1">IF(J192="","",(VLOOKUP($D192,master_food_list,'Master Food List'!T$91,FALSE)))</f>
        <v>177.77777777777777</v>
      </c>
      <c r="M192" s="202"/>
      <c r="N192" s="202"/>
    </row>
    <row r="193" spans="1:14" customFormat="1" ht="51" x14ac:dyDescent="0.2">
      <c r="A193" s="286">
        <v>26</v>
      </c>
      <c r="B193" s="287" t="s">
        <v>456</v>
      </c>
      <c r="C193" s="287" t="s">
        <v>455</v>
      </c>
      <c r="D193" s="289" t="s">
        <v>478</v>
      </c>
      <c r="E193" s="293">
        <f ca="1">IF(D193="","",(VLOOKUP($D193,master_food_list,'Master Food List'!N$91,FALSE)))</f>
        <v>540</v>
      </c>
      <c r="F193" s="293">
        <f ca="1">IF(E193="","",(VLOOKUP($D193,master_food_list,'Master Food List'!O$91,FALSE)))</f>
        <v>105</v>
      </c>
      <c r="G193" s="293">
        <f ca="1">IF(F193="","",(VLOOKUP($D193,master_food_list,'Master Food List'!P$91,FALSE)))</f>
        <v>6</v>
      </c>
      <c r="H193" s="293">
        <f ca="1">IF(G193="","",(VLOOKUP($D193,master_food_list,'Master Food List'!Q$91,FALSE)))</f>
        <v>12</v>
      </c>
      <c r="I193" s="293">
        <f ca="1">IF(H193="","",(VLOOKUP($D193,master_food_list,'Master Food List'!R$91,FALSE)))</f>
        <v>240</v>
      </c>
      <c r="J193" s="293">
        <f ca="1">IF(I193="","",(VLOOKUP($D193,master_food_list,'Master Food List'!S$91,FALSE)))</f>
        <v>0</v>
      </c>
      <c r="K193" s="293">
        <f ca="1">IF(J193="","",(VLOOKUP($D193,master_food_list,'Master Food List'!T$91,FALSE)))</f>
        <v>117.64705882352942</v>
      </c>
      <c r="M193" s="202"/>
      <c r="N193" s="202"/>
    </row>
    <row r="194" spans="1:14" customFormat="1" ht="51" x14ac:dyDescent="0.2">
      <c r="A194" s="286">
        <v>27</v>
      </c>
      <c r="B194" s="287" t="s">
        <v>456</v>
      </c>
      <c r="C194" s="287" t="s">
        <v>462</v>
      </c>
      <c r="D194" s="288" t="s">
        <v>480</v>
      </c>
      <c r="E194" s="293">
        <f ca="1">IF(D194="","",(VLOOKUP($D194,master_food_list,'Master Food List'!N$91,FALSE)))</f>
        <v>620</v>
      </c>
      <c r="F194" s="293">
        <f ca="1">IF(E194="","",(VLOOKUP($D194,master_food_list,'Master Food List'!O$91,FALSE)))</f>
        <v>74</v>
      </c>
      <c r="G194" s="293">
        <f ca="1">IF(F194="","",(VLOOKUP($D194,master_food_list,'Master Food List'!P$91,FALSE)))</f>
        <v>16</v>
      </c>
      <c r="H194" s="293">
        <f ca="1">IF(G194="","",(VLOOKUP($D194,master_food_list,'Master Food List'!Q$91,FALSE)))</f>
        <v>31</v>
      </c>
      <c r="I194" s="293">
        <f ca="1">IF(H194="","",(VLOOKUP($D194,master_food_list,'Master Food List'!R$91,FALSE)))</f>
        <v>280</v>
      </c>
      <c r="J194" s="293">
        <f ca="1">IF(I194="","",(VLOOKUP($D194,master_food_list,'Master Food List'!S$91,FALSE)))</f>
        <v>0</v>
      </c>
      <c r="K194" s="293">
        <f ca="1">IF(J194="","",(VLOOKUP($D194,master_food_list,'Master Food List'!T$91,FALSE)))</f>
        <v>130.52631578947367</v>
      </c>
      <c r="M194" s="202"/>
      <c r="N194" s="202"/>
    </row>
    <row r="195" spans="1:14" customFormat="1" ht="51" x14ac:dyDescent="0.2">
      <c r="A195" s="286">
        <v>27</v>
      </c>
      <c r="B195" s="287" t="s">
        <v>456</v>
      </c>
      <c r="C195" s="287" t="s">
        <v>461</v>
      </c>
      <c r="D195" s="288" t="s">
        <v>430</v>
      </c>
      <c r="E195" s="293">
        <f ca="1">IF(D195="","",(VLOOKUP($D195,master_food_list,'Master Food List'!N$91,FALSE)))</f>
        <v>510</v>
      </c>
      <c r="F195" s="293">
        <f ca="1">IF(E195="","",(VLOOKUP($D195,master_food_list,'Master Food List'!O$91,FALSE)))</f>
        <v>42</v>
      </c>
      <c r="G195" s="293">
        <f ca="1">IF(F195="","",(VLOOKUP($D195,master_food_list,'Master Food List'!P$91,FALSE)))</f>
        <v>10.5</v>
      </c>
      <c r="H195" s="293">
        <f ca="1">IF(G195="","",(VLOOKUP($D195,master_food_list,'Master Food List'!Q$91,FALSE)))</f>
        <v>33</v>
      </c>
      <c r="I195" s="293">
        <f ca="1">IF(H195="","",(VLOOKUP($D195,master_food_list,'Master Food List'!R$91,FALSE)))</f>
        <v>75</v>
      </c>
      <c r="J195" s="293">
        <f ca="1">IF(I195="","",(VLOOKUP($D195,master_food_list,'Master Food List'!S$91,FALSE)))</f>
        <v>0</v>
      </c>
      <c r="K195" s="293">
        <f ca="1">IF(J195="","",(VLOOKUP($D195,master_food_list,'Master Food List'!T$91,FALSE)))</f>
        <v>170</v>
      </c>
      <c r="M195" s="202"/>
      <c r="N195" s="202"/>
    </row>
    <row r="196" spans="1:14" customFormat="1" ht="51" x14ac:dyDescent="0.2">
      <c r="A196" s="286">
        <v>27</v>
      </c>
      <c r="B196" s="287" t="s">
        <v>456</v>
      </c>
      <c r="C196" s="287" t="s">
        <v>460</v>
      </c>
      <c r="D196" s="289"/>
      <c r="E196" s="293" t="str">
        <f>IF(D196="","",(VLOOKUP($D196,master_food_list,'Master Food List'!N$91,FALSE)))</f>
        <v/>
      </c>
      <c r="F196" s="293" t="str">
        <f>IF(E196="","",(VLOOKUP($D196,master_food_list,'Master Food List'!O$91,FALSE)))</f>
        <v/>
      </c>
      <c r="G196" s="293" t="str">
        <f>IF(F196="","",(VLOOKUP($D196,master_food_list,'Master Food List'!P$91,FALSE)))</f>
        <v/>
      </c>
      <c r="H196" s="293" t="str">
        <f>IF(G196="","",(VLOOKUP($D196,master_food_list,'Master Food List'!Q$91,FALSE)))</f>
        <v/>
      </c>
      <c r="I196" s="293" t="str">
        <f>IF(H196="","",(VLOOKUP($D196,master_food_list,'Master Food List'!R$91,FALSE)))</f>
        <v/>
      </c>
      <c r="J196" s="293" t="str">
        <f>IF(I196="","",(VLOOKUP($D196,master_food_list,'Master Food List'!S$91,FALSE)))</f>
        <v/>
      </c>
      <c r="K196" s="293" t="str">
        <f>IF(J196="","",(VLOOKUP($D196,master_food_list,'Master Food List'!T$91,FALSE)))</f>
        <v/>
      </c>
      <c r="M196" s="202"/>
      <c r="N196" s="202"/>
    </row>
    <row r="197" spans="1:14" customFormat="1" ht="51" x14ac:dyDescent="0.2">
      <c r="A197" s="286">
        <v>27</v>
      </c>
      <c r="B197" s="287" t="s">
        <v>456</v>
      </c>
      <c r="C197" s="287" t="s">
        <v>459</v>
      </c>
      <c r="D197" s="288" t="s">
        <v>325</v>
      </c>
      <c r="E197" s="293">
        <f ca="1">IF(D197="","",(VLOOKUP($D197,master_food_list,'Master Food List'!N$91,FALSE)))</f>
        <v>130</v>
      </c>
      <c r="F197" s="293">
        <f ca="1">IF(E197="","",(VLOOKUP($D197,master_food_list,'Master Food List'!O$91,FALSE)))</f>
        <v>12</v>
      </c>
      <c r="G197" s="293">
        <f ca="1">IF(F197="","",(VLOOKUP($D197,master_food_list,'Master Food List'!P$91,FALSE)))</f>
        <v>8</v>
      </c>
      <c r="H197" s="293">
        <f ca="1">IF(G197="","",(VLOOKUP($D197,master_food_list,'Master Food List'!Q$91,FALSE)))</f>
        <v>6</v>
      </c>
      <c r="I197" s="293">
        <f ca="1">IF(H197="","",(VLOOKUP($D197,master_food_list,'Master Food List'!R$91,FALSE)))</f>
        <v>290</v>
      </c>
      <c r="J197" s="293">
        <f ca="1">IF(I197="","",(VLOOKUP($D197,master_food_list,'Master Food List'!S$91,FALSE)))</f>
        <v>0</v>
      </c>
      <c r="K197" s="293">
        <f ca="1">IF(J197="","",(VLOOKUP($D197,master_food_list,'Master Food List'!T$91,FALSE)))</f>
        <v>99.999999999999986</v>
      </c>
      <c r="M197" s="202"/>
      <c r="N197" s="202"/>
    </row>
    <row r="198" spans="1:14" customFormat="1" ht="51" x14ac:dyDescent="0.2">
      <c r="A198" s="286">
        <v>27</v>
      </c>
      <c r="B198" s="287" t="s">
        <v>456</v>
      </c>
      <c r="C198" s="287" t="s">
        <v>458</v>
      </c>
      <c r="D198" s="289" t="s">
        <v>445</v>
      </c>
      <c r="E198" s="293">
        <f ca="1">IF(D198="","",(VLOOKUP($D198,master_food_list,'Master Food List'!N$91,FALSE)))</f>
        <v>580</v>
      </c>
      <c r="F198" s="293">
        <f ca="1">IF(E198="","",(VLOOKUP($D198,master_food_list,'Master Food List'!O$91,FALSE)))</f>
        <v>84</v>
      </c>
      <c r="G198" s="293">
        <f ca="1">IF(F198="","",(VLOOKUP($D198,master_food_list,'Master Food List'!P$91,FALSE)))</f>
        <v>50</v>
      </c>
      <c r="H198" s="293">
        <f ca="1">IF(G198="","",(VLOOKUP($D198,master_food_list,'Master Food List'!Q$91,FALSE)))</f>
        <v>10</v>
      </c>
      <c r="I198" s="293">
        <f ca="1">IF(H198="","",(VLOOKUP($D198,master_food_list,'Master Food List'!R$91,FALSE)))</f>
        <v>1500</v>
      </c>
      <c r="J198" s="293">
        <f ca="1">IF(I198="","",(VLOOKUP($D198,master_food_list,'Master Food List'!S$91,FALSE)))</f>
        <v>0</v>
      </c>
      <c r="K198" s="293">
        <f ca="1">IF(J198="","",(VLOOKUP($D198,master_food_list,'Master Food List'!T$91,FALSE)))</f>
        <v>96.666666666666671</v>
      </c>
      <c r="M198" s="202"/>
      <c r="N198" s="202"/>
    </row>
    <row r="199" spans="1:14" customFormat="1" ht="51" x14ac:dyDescent="0.2">
      <c r="A199" s="286">
        <v>27</v>
      </c>
      <c r="B199" s="287" t="s">
        <v>456</v>
      </c>
      <c r="C199" s="287" t="s">
        <v>457</v>
      </c>
      <c r="D199" s="289" t="s">
        <v>479</v>
      </c>
      <c r="E199" s="293">
        <f ca="1">IF(D199="","",(VLOOKUP($D199,master_food_list,'Master Food List'!N$91,FALSE)))</f>
        <v>300</v>
      </c>
      <c r="F199" s="293">
        <f ca="1">IF(E199="","",(VLOOKUP($D199,master_food_list,'Master Food List'!O$91,FALSE)))</f>
        <v>10.5</v>
      </c>
      <c r="G199" s="293">
        <f ca="1">IF(F199="","",(VLOOKUP($D199,master_food_list,'Master Food List'!P$91,FALSE)))</f>
        <v>10.5</v>
      </c>
      <c r="H199" s="293">
        <f ca="1">IF(G199="","",(VLOOKUP($D199,master_food_list,'Master Food List'!Q$91,FALSE)))</f>
        <v>25.5</v>
      </c>
      <c r="I199" s="293">
        <f ca="1">IF(H199="","",(VLOOKUP($D199,master_food_list,'Master Food List'!R$91,FALSE)))</f>
        <v>150</v>
      </c>
      <c r="J199" s="293">
        <f ca="1">IF(I199="","",(VLOOKUP($D199,master_food_list,'Master Food List'!S$91,FALSE)))</f>
        <v>0</v>
      </c>
      <c r="K199" s="293">
        <f ca="1">IF(J199="","",(VLOOKUP($D199,master_food_list,'Master Food List'!T$91,FALSE)))</f>
        <v>177.77777777777777</v>
      </c>
      <c r="M199" s="202"/>
      <c r="N199" s="202"/>
    </row>
    <row r="200" spans="1:14" customFormat="1" ht="51" x14ac:dyDescent="0.2">
      <c r="A200" s="286">
        <v>27</v>
      </c>
      <c r="B200" s="287" t="s">
        <v>456</v>
      </c>
      <c r="C200" s="287" t="s">
        <v>455</v>
      </c>
      <c r="D200" s="289" t="s">
        <v>483</v>
      </c>
      <c r="E200" s="293">
        <f ca="1">IF(D200="","",(VLOOKUP($D200,master_food_list,'Master Food List'!N$91,FALSE)))</f>
        <v>200</v>
      </c>
      <c r="F200" s="293">
        <f ca="1">IF(E200="","",(VLOOKUP($D200,master_food_list,'Master Food List'!O$91,FALSE)))</f>
        <v>31</v>
      </c>
      <c r="G200" s="293">
        <f ca="1">IF(F200="","",(VLOOKUP($D200,master_food_list,'Master Food List'!P$91,FALSE)))</f>
        <v>2</v>
      </c>
      <c r="H200" s="293">
        <f ca="1">IF(G200="","",(VLOOKUP($D200,master_food_list,'Master Food List'!Q$91,FALSE)))</f>
        <v>8</v>
      </c>
      <c r="I200" s="293">
        <f ca="1">IF(H200="","",(VLOOKUP($D200,master_food_list,'Master Food List'!R$91,FALSE)))</f>
        <v>30</v>
      </c>
      <c r="J200" s="293">
        <f ca="1">IF(I200="","",(VLOOKUP($D200,master_food_list,'Master Food List'!S$91,FALSE)))</f>
        <v>0</v>
      </c>
      <c r="K200" s="293">
        <f ca="1">IF(J200="","",(VLOOKUP($D200,master_food_list,'Master Food List'!T$91,FALSE)))</f>
        <v>133.33333333333334</v>
      </c>
      <c r="M200" s="202"/>
      <c r="N200" s="202"/>
    </row>
    <row r="201" spans="1:14" customFormat="1" ht="51" x14ac:dyDescent="0.2">
      <c r="A201" s="286">
        <v>28</v>
      </c>
      <c r="B201" s="287" t="s">
        <v>456</v>
      </c>
      <c r="C201" s="287" t="s">
        <v>462</v>
      </c>
      <c r="D201" s="288" t="s">
        <v>485</v>
      </c>
      <c r="E201" s="293">
        <f ca="1">IF(D201="","",(VLOOKUP($D201,master_food_list,'Master Food List'!N$91,FALSE)))</f>
        <v>500</v>
      </c>
      <c r="F201" s="293">
        <f ca="1">IF(E201="","",(VLOOKUP($D201,master_food_list,'Master Food List'!O$91,FALSE)))</f>
        <v>74</v>
      </c>
      <c r="G201" s="293">
        <f ca="1">IF(F201="","",(VLOOKUP($D201,master_food_list,'Master Food List'!P$91,FALSE)))</f>
        <v>16</v>
      </c>
      <c r="H201" s="293">
        <f ca="1">IF(G201="","",(VLOOKUP($D201,master_food_list,'Master Food List'!Q$91,FALSE)))</f>
        <v>18</v>
      </c>
      <c r="I201" s="293">
        <f ca="1">IF(H201="","",(VLOOKUP($D201,master_food_list,'Master Food List'!R$91,FALSE)))</f>
        <v>130</v>
      </c>
      <c r="J201" s="293">
        <f ca="1">IF(I201="","",(VLOOKUP($D201,master_food_list,'Master Food List'!S$91,FALSE)))</f>
        <v>0</v>
      </c>
      <c r="K201" s="293">
        <f ca="1">IF(J201="","",(VLOOKUP($D201,master_food_list,'Master Food List'!T$91,FALSE)))</f>
        <v>126.55024044545685</v>
      </c>
      <c r="M201" s="202"/>
      <c r="N201" s="202"/>
    </row>
    <row r="202" spans="1:14" customFormat="1" ht="51" x14ac:dyDescent="0.2">
      <c r="A202" s="286">
        <v>28</v>
      </c>
      <c r="B202" s="287" t="s">
        <v>456</v>
      </c>
      <c r="C202" s="287" t="s">
        <v>461</v>
      </c>
      <c r="D202" s="288" t="s">
        <v>354</v>
      </c>
      <c r="E202" s="293">
        <f ca="1">IF(D202="","",(VLOOKUP($D202,master_food_list,'Master Food List'!N$91,FALSE)))</f>
        <v>270</v>
      </c>
      <c r="F202" s="293">
        <f ca="1">IF(E202="","",(VLOOKUP($D202,master_food_list,'Master Food List'!O$91,FALSE)))</f>
        <v>72</v>
      </c>
      <c r="G202" s="293">
        <f ca="1">IF(F202="","",(VLOOKUP($D202,master_food_list,'Master Food List'!P$91,FALSE)))</f>
        <v>3</v>
      </c>
      <c r="H202" s="293">
        <f ca="1">IF(G202="","",(VLOOKUP($D202,master_food_list,'Master Food List'!Q$91,FALSE)))</f>
        <v>0</v>
      </c>
      <c r="I202" s="293">
        <f ca="1">IF(H202="","",(VLOOKUP($D202,master_food_list,'Master Food List'!R$91,FALSE)))</f>
        <v>0</v>
      </c>
      <c r="J202" s="293">
        <f ca="1">IF(I202="","",(VLOOKUP($D202,master_food_list,'Master Food List'!S$91,FALSE)))</f>
        <v>0</v>
      </c>
      <c r="K202" s="293">
        <f ca="1">IF(J202="","",(VLOOKUP($D202,master_food_list,'Master Food List'!T$91,FALSE)))</f>
        <v>112.5</v>
      </c>
      <c r="M202" s="202"/>
      <c r="N202" s="202"/>
    </row>
    <row r="203" spans="1:14" customFormat="1" ht="51" x14ac:dyDescent="0.2">
      <c r="A203" s="286">
        <v>28</v>
      </c>
      <c r="B203" s="287" t="s">
        <v>456</v>
      </c>
      <c r="C203" s="287" t="s">
        <v>460</v>
      </c>
      <c r="D203" s="289"/>
      <c r="E203" s="293" t="str">
        <f>IF(D203="","",(VLOOKUP($D203,master_food_list,'Master Food List'!N$91,FALSE)))</f>
        <v/>
      </c>
      <c r="F203" s="293" t="str">
        <f>IF(E203="","",(VLOOKUP($D203,master_food_list,'Master Food List'!O$91,FALSE)))</f>
        <v/>
      </c>
      <c r="G203" s="293" t="str">
        <f>IF(F203="","",(VLOOKUP($D203,master_food_list,'Master Food List'!P$91,FALSE)))</f>
        <v/>
      </c>
      <c r="H203" s="293" t="str">
        <f>IF(G203="","",(VLOOKUP($D203,master_food_list,'Master Food List'!Q$91,FALSE)))</f>
        <v/>
      </c>
      <c r="I203" s="293" t="str">
        <f>IF(H203="","",(VLOOKUP($D203,master_food_list,'Master Food List'!R$91,FALSE)))</f>
        <v/>
      </c>
      <c r="J203" s="293" t="str">
        <f>IF(I203="","",(VLOOKUP($D203,master_food_list,'Master Food List'!S$91,FALSE)))</f>
        <v/>
      </c>
      <c r="K203" s="293" t="str">
        <f>IF(J203="","",(VLOOKUP($D203,master_food_list,'Master Food List'!T$91,FALSE)))</f>
        <v/>
      </c>
      <c r="M203" s="202"/>
      <c r="N203" s="202"/>
    </row>
    <row r="204" spans="1:14" customFormat="1" ht="51" x14ac:dyDescent="0.2">
      <c r="A204" s="286">
        <v>28</v>
      </c>
      <c r="B204" s="287" t="s">
        <v>456</v>
      </c>
      <c r="C204" s="287" t="s">
        <v>459</v>
      </c>
      <c r="D204" s="288" t="s">
        <v>522</v>
      </c>
      <c r="E204" s="293">
        <f ca="1">IF(D204="","",(VLOOKUP($D204,master_food_list,'Master Food List'!N$91,FALSE)))</f>
        <v>300</v>
      </c>
      <c r="F204" s="293">
        <f ca="1">IF(E204="","",(VLOOKUP($D204,master_food_list,'Master Food List'!O$91,FALSE)))</f>
        <v>26</v>
      </c>
      <c r="G204" s="293">
        <f ca="1">IF(F204="","",(VLOOKUP($D204,master_food_list,'Master Food List'!P$91,FALSE)))</f>
        <v>4</v>
      </c>
      <c r="H204" s="293">
        <f ca="1">IF(G204="","",(VLOOKUP($D204,master_food_list,'Master Food List'!Q$91,FALSE)))</f>
        <v>20</v>
      </c>
      <c r="I204" s="293">
        <f ca="1">IF(H204="","",(VLOOKUP($D204,master_food_list,'Master Food List'!R$91,FALSE)))</f>
        <v>500</v>
      </c>
      <c r="J204" s="293">
        <f ca="1">IF(I204="","",(VLOOKUP($D204,master_food_list,'Master Food List'!S$91,FALSE)))</f>
        <v>0</v>
      </c>
      <c r="K204" s="293">
        <f ca="1">IF(J204="","",(VLOOKUP($D204,master_food_list,'Master Food List'!T$91,FALSE)))</f>
        <v>154.28571428571428</v>
      </c>
      <c r="M204" s="202"/>
      <c r="N204" s="202"/>
    </row>
    <row r="205" spans="1:14" customFormat="1" ht="51" x14ac:dyDescent="0.2">
      <c r="A205" s="286">
        <v>28</v>
      </c>
      <c r="B205" s="287" t="s">
        <v>456</v>
      </c>
      <c r="C205" s="287" t="s">
        <v>458</v>
      </c>
      <c r="D205" s="289" t="s">
        <v>493</v>
      </c>
      <c r="E205" s="293">
        <f ca="1">IF(D205="","",(VLOOKUP($D205,master_food_list,'Master Food List'!N$91,FALSE)))</f>
        <v>1000</v>
      </c>
      <c r="F205" s="293">
        <f ca="1">IF(E205="","",(VLOOKUP($D205,master_food_list,'Master Food List'!O$91,FALSE)))</f>
        <v>112</v>
      </c>
      <c r="G205" s="293">
        <f ca="1">IF(F205="","",(VLOOKUP($D205,master_food_list,'Master Food List'!P$91,FALSE)))</f>
        <v>40</v>
      </c>
      <c r="H205" s="293">
        <f ca="1">IF(G205="","",(VLOOKUP($D205,master_food_list,'Master Food List'!Q$91,FALSE)))</f>
        <v>52</v>
      </c>
      <c r="I205" s="293">
        <f ca="1">IF(H205="","",(VLOOKUP($D205,master_food_list,'Master Food List'!R$91,FALSE)))</f>
        <v>460</v>
      </c>
      <c r="J205" s="293">
        <f ca="1">IF(I205="","",(VLOOKUP($D205,master_food_list,'Master Food List'!S$91,FALSE)))</f>
        <v>0</v>
      </c>
      <c r="K205" s="293">
        <f ca="1">IF(J205="","",(VLOOKUP($D205,master_food_list,'Master Food List'!T$91,FALSE)))</f>
        <v>123.4567901234568</v>
      </c>
      <c r="M205" s="202"/>
      <c r="N205" s="202"/>
    </row>
    <row r="206" spans="1:14" customFormat="1" ht="51" x14ac:dyDescent="0.2">
      <c r="A206" s="286">
        <v>28</v>
      </c>
      <c r="B206" s="287" t="s">
        <v>456</v>
      </c>
      <c r="C206" s="287" t="s">
        <v>457</v>
      </c>
      <c r="D206" s="289" t="s">
        <v>479</v>
      </c>
      <c r="E206" s="293">
        <f ca="1">IF(D206="","",(VLOOKUP($D206,master_food_list,'Master Food List'!N$91,FALSE)))</f>
        <v>300</v>
      </c>
      <c r="F206" s="293">
        <f ca="1">IF(E206="","",(VLOOKUP($D206,master_food_list,'Master Food List'!O$91,FALSE)))</f>
        <v>10.5</v>
      </c>
      <c r="G206" s="293">
        <f ca="1">IF(F206="","",(VLOOKUP($D206,master_food_list,'Master Food List'!P$91,FALSE)))</f>
        <v>10.5</v>
      </c>
      <c r="H206" s="293">
        <f ca="1">IF(G206="","",(VLOOKUP($D206,master_food_list,'Master Food List'!Q$91,FALSE)))</f>
        <v>25.5</v>
      </c>
      <c r="I206" s="293">
        <f ca="1">IF(H206="","",(VLOOKUP($D206,master_food_list,'Master Food List'!R$91,FALSE)))</f>
        <v>150</v>
      </c>
      <c r="J206" s="293">
        <f ca="1">IF(I206="","",(VLOOKUP($D206,master_food_list,'Master Food List'!S$91,FALSE)))</f>
        <v>0</v>
      </c>
      <c r="K206" s="293">
        <f ca="1">IF(J206="","",(VLOOKUP($D206,master_food_list,'Master Food List'!T$91,FALSE)))</f>
        <v>177.77777777777777</v>
      </c>
      <c r="M206" s="202"/>
      <c r="N206" s="202"/>
    </row>
    <row r="207" spans="1:14" customFormat="1" ht="51" x14ac:dyDescent="0.2">
      <c r="A207" s="286">
        <v>28</v>
      </c>
      <c r="B207" s="287" t="s">
        <v>456</v>
      </c>
      <c r="C207" s="287" t="s">
        <v>455</v>
      </c>
      <c r="D207" s="289" t="s">
        <v>482</v>
      </c>
      <c r="E207" s="293">
        <f ca="1">IF(D207="","",(VLOOKUP($D207,master_food_list,'Master Food List'!N$91,FALSE)))</f>
        <v>110</v>
      </c>
      <c r="F207" s="293">
        <f ca="1">IF(E207="","",(VLOOKUP($D207,master_food_list,'Master Food List'!O$91,FALSE)))</f>
        <v>21</v>
      </c>
      <c r="G207" s="293">
        <f ca="1">IF(F207="","",(VLOOKUP($D207,master_food_list,'Master Food List'!P$91,FALSE)))</f>
        <v>1</v>
      </c>
      <c r="H207" s="293">
        <f ca="1">IF(G207="","",(VLOOKUP($D207,master_food_list,'Master Food List'!Q$91,FALSE)))</f>
        <v>2</v>
      </c>
      <c r="I207" s="293">
        <f ca="1">IF(H207="","",(VLOOKUP($D207,master_food_list,'Master Food List'!R$91,FALSE)))</f>
        <v>150</v>
      </c>
      <c r="J207" s="293">
        <f ca="1">IF(I207="","",(VLOOKUP($D207,master_food_list,'Master Food List'!S$91,FALSE)))</f>
        <v>0</v>
      </c>
      <c r="K207" s="293">
        <f ca="1">IF(J207="","",(VLOOKUP($D207,master_food_list,'Master Food List'!T$91,FALSE)))</f>
        <v>118.27956989247312</v>
      </c>
      <c r="M207" s="202"/>
      <c r="N207" s="202"/>
    </row>
    <row r="208" spans="1:14" customFormat="1" ht="51" x14ac:dyDescent="0.2">
      <c r="A208" s="286">
        <v>29</v>
      </c>
      <c r="B208" s="287" t="s">
        <v>456</v>
      </c>
      <c r="C208" s="287" t="s">
        <v>462</v>
      </c>
      <c r="D208" s="288" t="s">
        <v>481</v>
      </c>
      <c r="E208" s="293">
        <f ca="1">IF(D208="","",(VLOOKUP($D208,master_food_list,'Master Food List'!N$91,FALSE)))</f>
        <v>400</v>
      </c>
      <c r="F208" s="293">
        <f ca="1">IF(E208="","",(VLOOKUP($D208,master_food_list,'Master Food List'!O$91,FALSE)))</f>
        <v>72</v>
      </c>
      <c r="G208" s="293">
        <f ca="1">IF(F208="","",(VLOOKUP($D208,master_food_list,'Master Food List'!P$91,FALSE)))</f>
        <v>6</v>
      </c>
      <c r="H208" s="293">
        <f ca="1">IF(G208="","",(VLOOKUP($D208,master_food_list,'Master Food List'!Q$91,FALSE)))</f>
        <v>10</v>
      </c>
      <c r="I208" s="293">
        <f ca="1">IF(H208="","",(VLOOKUP($D208,master_food_list,'Master Food List'!R$91,FALSE)))</f>
        <v>420</v>
      </c>
      <c r="J208" s="293">
        <f ca="1">IF(I208="","",(VLOOKUP($D208,master_food_list,'Master Food List'!S$91,FALSE)))</f>
        <v>0</v>
      </c>
      <c r="K208" s="293">
        <f ca="1">IF(J208="","",(VLOOKUP($D208,master_food_list,'Master Food List'!T$91,FALSE)))</f>
        <v>109.09090909090909</v>
      </c>
      <c r="M208" s="202"/>
      <c r="N208" s="202"/>
    </row>
    <row r="209" spans="1:14" customFormat="1" ht="51" x14ac:dyDescent="0.2">
      <c r="A209" s="286">
        <v>29</v>
      </c>
      <c r="B209" s="287" t="s">
        <v>456</v>
      </c>
      <c r="C209" s="287" t="s">
        <v>461</v>
      </c>
      <c r="D209" s="288" t="s">
        <v>433</v>
      </c>
      <c r="E209" s="293">
        <f ca="1">IF(D209="","",(VLOOKUP($D209,master_food_list,'Master Food List'!N$91,FALSE)))</f>
        <v>280</v>
      </c>
      <c r="F209" s="293">
        <f ca="1">IF(E209="","",(VLOOKUP($D209,master_food_list,'Master Food List'!O$91,FALSE)))</f>
        <v>34</v>
      </c>
      <c r="G209" s="293">
        <f ca="1">IF(F209="","",(VLOOKUP($D209,master_food_list,'Master Food List'!P$91,FALSE)))</f>
        <v>2</v>
      </c>
      <c r="H209" s="293">
        <f ca="1">IF(G209="","",(VLOOKUP($D209,master_food_list,'Master Food List'!Q$91,FALSE)))</f>
        <v>17</v>
      </c>
      <c r="I209" s="293">
        <f ca="1">IF(H209="","",(VLOOKUP($D209,master_food_list,'Master Food List'!R$91,FALSE)))</f>
        <v>0</v>
      </c>
      <c r="J209" s="293">
        <f ca="1">IF(I209="","",(VLOOKUP($D209,master_food_list,'Master Food List'!S$91,FALSE)))</f>
        <v>0</v>
      </c>
      <c r="K209" s="293">
        <f ca="1">IF(J209="","",(VLOOKUP($D209,master_food_list,'Master Food List'!T$91,FALSE)))</f>
        <v>140</v>
      </c>
      <c r="M209" s="202"/>
      <c r="N209" s="202"/>
    </row>
    <row r="210" spans="1:14" customFormat="1" ht="51" x14ac:dyDescent="0.2">
      <c r="A210" s="286">
        <v>29</v>
      </c>
      <c r="B210" s="287" t="s">
        <v>456</v>
      </c>
      <c r="C210" s="287" t="s">
        <v>460</v>
      </c>
      <c r="D210" s="289"/>
      <c r="E210" s="293" t="str">
        <f>IF(D210="","",(VLOOKUP($D210,master_food_list,'Master Food List'!N$91,FALSE)))</f>
        <v/>
      </c>
      <c r="F210" s="293" t="str">
        <f>IF(E210="","",(VLOOKUP($D210,master_food_list,'Master Food List'!O$91,FALSE)))</f>
        <v/>
      </c>
      <c r="G210" s="293" t="str">
        <f>IF(F210="","",(VLOOKUP($D210,master_food_list,'Master Food List'!P$91,FALSE)))</f>
        <v/>
      </c>
      <c r="H210" s="293" t="str">
        <f>IF(G210="","",(VLOOKUP($D210,master_food_list,'Master Food List'!Q$91,FALSE)))</f>
        <v/>
      </c>
      <c r="I210" s="293" t="str">
        <f>IF(H210="","",(VLOOKUP($D210,master_food_list,'Master Food List'!R$91,FALSE)))</f>
        <v/>
      </c>
      <c r="J210" s="293" t="str">
        <f>IF(I210="","",(VLOOKUP($D210,master_food_list,'Master Food List'!S$91,FALSE)))</f>
        <v/>
      </c>
      <c r="K210" s="293" t="str">
        <f>IF(J210="","",(VLOOKUP($D210,master_food_list,'Master Food List'!T$91,FALSE)))</f>
        <v/>
      </c>
      <c r="M210" s="202"/>
      <c r="N210" s="202"/>
    </row>
    <row r="211" spans="1:14" customFormat="1" ht="51" x14ac:dyDescent="0.2">
      <c r="A211" s="286">
        <v>29</v>
      </c>
      <c r="B211" s="287" t="s">
        <v>456</v>
      </c>
      <c r="C211" s="287" t="s">
        <v>459</v>
      </c>
      <c r="D211" s="288" t="s">
        <v>490</v>
      </c>
      <c r="E211" s="293">
        <f ca="1">IF(D211="","",(VLOOKUP($D211,master_food_list,'Master Food List'!N$91,FALSE)))</f>
        <v>225</v>
      </c>
      <c r="F211" s="293">
        <f ca="1">IF(E211="","",(VLOOKUP($D211,master_food_list,'Master Food List'!O$91,FALSE)))</f>
        <v>30</v>
      </c>
      <c r="G211" s="293">
        <f ca="1">IF(F211="","",(VLOOKUP($D211,master_food_list,'Master Food List'!P$91,FALSE)))</f>
        <v>20</v>
      </c>
      <c r="H211" s="293">
        <f ca="1">IF(G211="","",(VLOOKUP($D211,master_food_list,'Master Food List'!Q$91,FALSE)))</f>
        <v>3.75</v>
      </c>
      <c r="I211" s="293">
        <f ca="1">IF(H211="","",(VLOOKUP($D211,master_food_list,'Master Food List'!R$91,FALSE)))</f>
        <v>875</v>
      </c>
      <c r="J211" s="293">
        <f ca="1">IF(I211="","",(VLOOKUP($D211,master_food_list,'Master Food List'!S$91,FALSE)))</f>
        <v>0</v>
      </c>
      <c r="K211" s="293">
        <f ca="1">IF(J211="","",(VLOOKUP($D211,master_food_list,'Master Food List'!T$91,FALSE)))</f>
        <v>83.333333333333329</v>
      </c>
      <c r="M211" s="202"/>
      <c r="N211" s="202"/>
    </row>
    <row r="212" spans="1:14" customFormat="1" ht="51" x14ac:dyDescent="0.2">
      <c r="A212" s="286">
        <v>29</v>
      </c>
      <c r="B212" s="287" t="s">
        <v>456</v>
      </c>
      <c r="C212" s="287" t="s">
        <v>458</v>
      </c>
      <c r="D212" s="289" t="s">
        <v>504</v>
      </c>
      <c r="E212" s="293">
        <f ca="1">IF(D212="","",(VLOOKUP($D212,master_food_list,'Master Food List'!N$91,FALSE)))</f>
        <v>860</v>
      </c>
      <c r="F212" s="293">
        <f ca="1">IF(E212="","",(VLOOKUP($D212,master_food_list,'Master Food List'!O$91,FALSE)))</f>
        <v>112</v>
      </c>
      <c r="G212" s="293">
        <f ca="1">IF(F212="","",(VLOOKUP($D212,master_food_list,'Master Food List'!P$91,FALSE)))</f>
        <v>38</v>
      </c>
      <c r="H212" s="293">
        <f ca="1">IF(G212="","",(VLOOKUP($D212,master_food_list,'Master Food List'!Q$91,FALSE)))</f>
        <v>28</v>
      </c>
      <c r="I212" s="293">
        <f ca="1">IF(H212="","",(VLOOKUP($D212,master_food_list,'Master Food List'!R$91,FALSE)))</f>
        <v>1220</v>
      </c>
      <c r="J212" s="293">
        <f ca="1">IF(I212="","",(VLOOKUP($D212,master_food_list,'Master Food List'!S$91,FALSE)))</f>
        <v>0</v>
      </c>
      <c r="K212" s="293">
        <f ca="1">IF(J212="","",(VLOOKUP($D212,master_food_list,'Master Food List'!T$91,FALSE)))</f>
        <v>121.12676056338029</v>
      </c>
      <c r="M212" s="202"/>
      <c r="N212" s="202"/>
    </row>
    <row r="213" spans="1:14" customFormat="1" ht="51" x14ac:dyDescent="0.2">
      <c r="A213" s="286">
        <v>29</v>
      </c>
      <c r="B213" s="287" t="s">
        <v>456</v>
      </c>
      <c r="C213" s="287" t="s">
        <v>457</v>
      </c>
      <c r="D213" s="289" t="s">
        <v>479</v>
      </c>
      <c r="E213" s="293">
        <f ca="1">IF(D213="","",(VLOOKUP($D213,master_food_list,'Master Food List'!N$91,FALSE)))</f>
        <v>300</v>
      </c>
      <c r="F213" s="293">
        <f ca="1">IF(E213="","",(VLOOKUP($D213,master_food_list,'Master Food List'!O$91,FALSE)))</f>
        <v>10.5</v>
      </c>
      <c r="G213" s="293">
        <f ca="1">IF(F213="","",(VLOOKUP($D213,master_food_list,'Master Food List'!P$91,FALSE)))</f>
        <v>10.5</v>
      </c>
      <c r="H213" s="293">
        <f ca="1">IF(G213="","",(VLOOKUP($D213,master_food_list,'Master Food List'!Q$91,FALSE)))</f>
        <v>25.5</v>
      </c>
      <c r="I213" s="293">
        <f ca="1">IF(H213="","",(VLOOKUP($D213,master_food_list,'Master Food List'!R$91,FALSE)))</f>
        <v>150</v>
      </c>
      <c r="J213" s="293">
        <f ca="1">IF(I213="","",(VLOOKUP($D213,master_food_list,'Master Food List'!S$91,FALSE)))</f>
        <v>0</v>
      </c>
      <c r="K213" s="293">
        <f ca="1">IF(J213="","",(VLOOKUP($D213,master_food_list,'Master Food List'!T$91,FALSE)))</f>
        <v>177.77777777777777</v>
      </c>
      <c r="M213" s="202"/>
      <c r="N213" s="202"/>
    </row>
    <row r="214" spans="1:14" customFormat="1" ht="51" x14ac:dyDescent="0.2">
      <c r="A214" s="286">
        <v>29</v>
      </c>
      <c r="B214" s="287" t="s">
        <v>456</v>
      </c>
      <c r="C214" s="287" t="s">
        <v>455</v>
      </c>
      <c r="D214" s="289" t="s">
        <v>484</v>
      </c>
      <c r="E214" s="293">
        <f ca="1">IF(D214="","",(VLOOKUP($D214,master_food_list,'Master Food List'!N$91,FALSE)))</f>
        <v>540</v>
      </c>
      <c r="F214" s="293">
        <f ca="1">IF(E214="","",(VLOOKUP($D214,master_food_list,'Master Food List'!O$91,FALSE)))</f>
        <v>72</v>
      </c>
      <c r="G214" s="293">
        <f ca="1">IF(F214="","",(VLOOKUP($D214,master_food_list,'Master Food List'!P$91,FALSE)))</f>
        <v>14</v>
      </c>
      <c r="H214" s="293">
        <f ca="1">IF(G214="","",(VLOOKUP($D214,master_food_list,'Master Food List'!Q$91,FALSE)))</f>
        <v>22</v>
      </c>
      <c r="I214" s="293">
        <f ca="1">IF(H214="","",(VLOOKUP($D214,master_food_list,'Master Food List'!R$91,FALSE)))</f>
        <v>780</v>
      </c>
      <c r="J214" s="293">
        <f ca="1">IF(I214="","",(VLOOKUP($D214,master_food_list,'Master Food List'!S$91,FALSE)))</f>
        <v>0</v>
      </c>
      <c r="K214" s="293">
        <f ca="1">IF(J214="","",(VLOOKUP($D214,master_food_list,'Master Food List'!T$91,FALSE)))</f>
        <v>117.39130434782609</v>
      </c>
      <c r="M214" s="202"/>
      <c r="N214" s="202"/>
    </row>
  </sheetData>
  <mergeCells count="4">
    <mergeCell ref="A2:K2"/>
    <mergeCell ref="D4:E4"/>
    <mergeCell ref="F4:I4"/>
    <mergeCell ref="A1:K1"/>
  </mergeCells>
  <printOptions horizontalCentered="1"/>
  <pageMargins left="0.25" right="0.25" top="0.75" bottom="0.75" header="0.25" footer="0.3"/>
  <pageSetup scale="60" fitToHeight="0" orientation="portrait" horizontalDpi="0" verticalDpi="0"/>
  <headerFooter>
    <oddHeader>&amp;C&amp;"Calibri Bold,Bold"&amp;18&amp;K000000JMT 2018</oddHeader>
  </headerFooter>
  <rowBreaks count="3" manualBreakCount="3">
    <brk id="81" max="16383" man="1"/>
    <brk id="109" max="16383" man="1"/>
    <brk id="151"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44AF86C-1A8C-014D-878F-9B49BDE850B8}">
          <x14:formula1>
            <xm:f>'Master Food List'!$A:$A</xm:f>
          </x14:formula1>
          <xm:sqref>D8:D214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Hiking Itinerary</vt:lpstr>
      <vt:lpstr>Travel Itinerary &amp; Logistics</vt:lpstr>
      <vt:lpstr>Resupplies</vt:lpstr>
      <vt:lpstr>Costs</vt:lpstr>
      <vt:lpstr>Food Cooking Instructions</vt:lpstr>
      <vt:lpstr>Master Food List</vt:lpstr>
      <vt:lpstr>Food Order</vt:lpstr>
      <vt:lpstr>Joe Food Schedule</vt:lpstr>
      <vt:lpstr>Lisa Food Schedule</vt:lpstr>
      <vt:lpstr>Food Summary</vt:lpstr>
      <vt:lpstr>Joe Food - PRINT</vt:lpstr>
      <vt:lpstr>Lisa Food - PRINT</vt:lpstr>
      <vt:lpstr>Recipes</vt:lpstr>
      <vt:lpstr>Complete Gear List (Lisa)</vt:lpstr>
      <vt:lpstr>Gear Summary (Lisa)</vt:lpstr>
      <vt:lpstr>Complete Gear List (Joe)</vt:lpstr>
      <vt:lpstr>Gear Summary (Joe)</vt:lpstr>
      <vt:lpstr>'Master Food List'!master_food_list</vt:lpstr>
      <vt:lpstr>Recipes!master_food_list</vt:lpstr>
      <vt:lpstr>Resupplies!master_food_list</vt:lpstr>
      <vt:lpstr>'Travel Itinerary &amp; Logistics'!master_food_list</vt:lpstr>
      <vt:lpstr>master_food_list</vt:lpstr>
      <vt:lpstr>'Complete Gear List (Joe)'!Print_Area</vt:lpstr>
      <vt:lpstr>Costs!Print_Area</vt:lpstr>
      <vt:lpstr>'Food Cooking Instructions'!Print_Area</vt:lpstr>
      <vt:lpstr>'Food Order'!Print_Area</vt:lpstr>
      <vt:lpstr>'Food Summary'!Print_Area</vt:lpstr>
      <vt:lpstr>'Gear Summary (Lisa)'!Print_Area</vt:lpstr>
      <vt:lpstr>'Hiking Itinerary'!Print_Area</vt:lpstr>
      <vt:lpstr>'Joe Food - PRINT'!Print_Area</vt:lpstr>
      <vt:lpstr>'Joe Food Schedule'!Print_Area</vt:lpstr>
      <vt:lpstr>'Lisa Food - PRINT'!Print_Area</vt:lpstr>
      <vt:lpstr>'Lisa Food Schedule'!Print_Area</vt:lpstr>
      <vt:lpstr>Resupplies!Print_Area</vt:lpstr>
      <vt:lpstr>'Travel Itinerary &amp; Logistics'!Print_Area</vt:lpstr>
      <vt:lpstr>'Complete Gear List (Joe)'!Print_Titles</vt:lpstr>
      <vt:lpstr>'Complete Gear List (Lisa)'!Print_Titles</vt:lpstr>
      <vt:lpstr>Costs!Print_Titles</vt:lpstr>
      <vt:lpstr>'Food Order'!Print_Titles</vt:lpstr>
      <vt:lpstr>'Food Summary'!Print_Titles</vt:lpstr>
      <vt:lpstr>'Gear Summary (Joe)'!Print_Titles</vt:lpstr>
      <vt:lpstr>'Gear Summary (Lisa)'!Print_Titles</vt:lpstr>
      <vt:lpstr>'Hiking Itinerary'!Print_Titles</vt:lpstr>
      <vt:lpstr>'Joe Food - PRINT'!Print_Titles</vt:lpstr>
      <vt:lpstr>'Joe Food Schedule'!Print_Titles</vt:lpstr>
      <vt:lpstr>'Lisa Food - PRINT'!Print_Titles</vt:lpstr>
      <vt:lpstr>'Lisa Food Schedule'!Print_Titles</vt:lpstr>
      <vt:lpstr>'Master Food List'!Print_Titles</vt:lpstr>
      <vt:lpstr>'Travel Itinerary &amp; Logistics'!Print_Titles</vt:lpstr>
    </vt:vector>
  </TitlesOfParts>
  <Manager/>
  <Company>Go. Own 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JMT Hike Planning - SAMPLE</dc:title>
  <dc:subject>John Muir Trail HIke Planning</dc:subject>
  <dc:creator>Lisa @ Go. Own It®</dc:creator>
  <cp:keywords/>
  <dc:description>This workbook can be used to assist in planning a hike on the John Muir Trail (or any other trail).</dc:description>
  <cp:lastModifiedBy>Go. Own It®</cp:lastModifiedBy>
  <cp:lastPrinted>2018-07-14T17:43:12Z</cp:lastPrinted>
  <dcterms:created xsi:type="dcterms:W3CDTF">2017-01-07T16:41:12Z</dcterms:created>
  <dcterms:modified xsi:type="dcterms:W3CDTF">2018-12-04T14:36:24Z</dcterms:modified>
  <cp:category/>
</cp:coreProperties>
</file>